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810" windowHeight="7725" tabRatio="492" activeTab="2"/>
  </bookViews>
  <sheets>
    <sheet name="Varžybos" sheetId="1" r:id="rId1"/>
    <sheet name="Moterys" sheetId="2" r:id="rId2"/>
    <sheet name="Vyrai" sheetId="3" r:id="rId3"/>
    <sheet name="Moterys (skaiciavimams)" sheetId="4" state="hidden" r:id="rId4"/>
    <sheet name="Vyrai (skaiciavimams)" sheetId="5" state="hidden" r:id="rId5"/>
  </sheets>
  <definedNames>
    <definedName name="NLM1" localSheetId="3">'Moterys (skaiciavimams)'!#REF!</definedName>
    <definedName name="NLM1" localSheetId="4">'Vyrai (skaiciavimams)'!#REF!</definedName>
    <definedName name="NLM2" localSheetId="3">'Moterys (skaiciavimams)'!#REF!</definedName>
    <definedName name="NLM2" localSheetId="4">'Vyrai (skaiciavimams)'!#REF!</definedName>
    <definedName name="NLV1" localSheetId="3">'Moterys (skaiciavimams)'!#REF!</definedName>
    <definedName name="NLV1" localSheetId="4">'Vyrai (skaiciavimams)'!#REF!</definedName>
    <definedName name="NLV2" localSheetId="3">'Moterys (skaiciavimams)'!#REF!</definedName>
    <definedName name="NLV2" localSheetId="4">'Vyrai (skaiciavimams)'!#REF!</definedName>
    <definedName name="Varz10NLM1">'Varžybos'!$K$48</definedName>
    <definedName name="Varz10NLM2">'Varžybos'!$K$50</definedName>
    <definedName name="Varz10NLM3">'Varžybos'!$K$52</definedName>
    <definedName name="Varz10NLM4">'Varžybos'!$K$53</definedName>
    <definedName name="Varz10NLV1">'Varžybos'!$H$47</definedName>
    <definedName name="Varz10NLV2">'Varžybos'!$H$49</definedName>
    <definedName name="Varz10NLV3">'Varžybos'!$H$51</definedName>
    <definedName name="Varz10NLV4">'Varžybos'!$H$52</definedName>
    <definedName name="Varz10NLV5">'Varžybos'!$H$53</definedName>
    <definedName name="Varz10TKM1">'Varžybos'!$J$48</definedName>
    <definedName name="Varz10TKM2">'Varžybos'!$J$50</definedName>
    <definedName name="Varz10TKM3">'Varžybos'!$J$52</definedName>
    <definedName name="Varz10TKM4">'Varžybos'!$J$53</definedName>
    <definedName name="Varz10TKV1">'Varžybos'!$G$47</definedName>
    <definedName name="Varz10TKV2">'Varžybos'!$G$49</definedName>
    <definedName name="Varz10TKV3">'Varžybos'!$G$51</definedName>
    <definedName name="Varz10TKV4">'Varžybos'!$G$52</definedName>
    <definedName name="Varz10TKV5">'Varžybos'!$G$53</definedName>
    <definedName name="Varz10VK">'Varžybos'!$C$47</definedName>
    <definedName name="Varz11NLM1">'Varžybos'!$K$55</definedName>
    <definedName name="Varz11NLM2">'Varžybos'!$K$57</definedName>
    <definedName name="Varz11NLM3">'Varžybos'!$K$59</definedName>
    <definedName name="Varz11NLM4">'Varžybos'!$K$60</definedName>
    <definedName name="Varz11NLV1">'Varžybos'!$H$54</definedName>
    <definedName name="Varz11NLV2">'Varžybos'!$H$56</definedName>
    <definedName name="Varz11NLV3">'Varžybos'!$H$58</definedName>
    <definedName name="Varz11NLV4">'Varžybos'!$H$59</definedName>
    <definedName name="Varz11NLV5">'Varžybos'!$H$60</definedName>
    <definedName name="Varz11TKM1">'Varžybos'!$J$55</definedName>
    <definedName name="Varz11TKM2">'Varžybos'!$J$57</definedName>
    <definedName name="Varz11TKM3">'Varžybos'!$J$59</definedName>
    <definedName name="Varz11TKM4">'Varžybos'!$J$60</definedName>
    <definedName name="Varz11TKV1">'Varžybos'!$G$54</definedName>
    <definedName name="Varz11TKV2">'Varžybos'!$G$56</definedName>
    <definedName name="Varz11TKV3">'Varžybos'!$G$58</definedName>
    <definedName name="Varz11TKV4">'Varžybos'!$G$59</definedName>
    <definedName name="Varz11TKV5">'Varžybos'!$G$60</definedName>
    <definedName name="Varz11VK">'Varžybos'!$C$54</definedName>
    <definedName name="Varz12NLM1">'Varžybos'!$K$62</definedName>
    <definedName name="Varz12NLM2">'Varžybos'!$K$64</definedName>
    <definedName name="Varz12NLM3">'Varžybos'!$K$65</definedName>
    <definedName name="Varz12NLM4">'Varžybos'!$K$66</definedName>
    <definedName name="Varz12NLV1">'Varžybos'!$H$61</definedName>
    <definedName name="Varz12NLV2">'Varžybos'!$H$63</definedName>
    <definedName name="Varz12NLV3">'Varžybos'!$H$64</definedName>
    <definedName name="Varz12NLV4">'Varžybos'!$H$65</definedName>
    <definedName name="Varz12NLV5">'Varžybos'!$H$66</definedName>
    <definedName name="Varz12TKM1">'Varžybos'!$J$62</definedName>
    <definedName name="Varz12TKM2">'Varžybos'!$J$64</definedName>
    <definedName name="Varz12TKM3">'Varžybos'!$J$65</definedName>
    <definedName name="Varz12TKM4">'Varžybos'!$J$66</definedName>
    <definedName name="Varz12TKV1">'Varžybos'!$G$61</definedName>
    <definedName name="Varz12TKV2">'Varžybos'!$G$63</definedName>
    <definedName name="Varz12TKV3">'Varžybos'!$G$64</definedName>
    <definedName name="Varz12TKV4">'Varžybos'!$G$65</definedName>
    <definedName name="Varz12TKV5">'Varžybos'!$G$66</definedName>
    <definedName name="Varz12VK">'Varžybos'!$C$61</definedName>
    <definedName name="Varz13NLM1">'Varžybos'!$K$68</definedName>
    <definedName name="Varz13NLM2">'Varžybos'!$K$70</definedName>
    <definedName name="Varz13NLV1">'Varžybos'!$H$67</definedName>
    <definedName name="Varz13NLV2">'Varžybos'!$H$68</definedName>
    <definedName name="Varz13NLV3">'Varžybos'!$H$69</definedName>
    <definedName name="Varz13TKM1">'Varžybos'!$J$68</definedName>
    <definedName name="Varz13TKM2">'Varžybos'!$J$70</definedName>
    <definedName name="Varz13TKV1">'Varžybos'!$G$67</definedName>
    <definedName name="Varz13TKV2">'Varžybos'!$G$68</definedName>
    <definedName name="Varz13TKV3">'Varžybos'!$G$69</definedName>
    <definedName name="Varz13VK">'Varžybos'!$C$67</definedName>
    <definedName name="Varz14NLM1">'Varžybos'!$K$72</definedName>
    <definedName name="Varz14NLM2">'Varžybos'!$K$74</definedName>
    <definedName name="Varz14NLV1">'Varžybos'!$H$71</definedName>
    <definedName name="Varz14NLV2">'Varžybos'!$H$72</definedName>
    <definedName name="Varz14NLV3">'Varžybos'!$H$73</definedName>
    <definedName name="Varz14TKM1">'Varžybos'!$J$72</definedName>
    <definedName name="Varz14TKM2">'Varžybos'!$J$74</definedName>
    <definedName name="Varz14TKV1">'Varžybos'!$G$71</definedName>
    <definedName name="Varz14TKV2">'Varžybos'!$G$72</definedName>
    <definedName name="Varz14TKV3">'Varžybos'!$G$73</definedName>
    <definedName name="Varz14VK">'Varžybos'!$C$71</definedName>
    <definedName name="Varz15NLM1">'Varžybos'!$K$76</definedName>
    <definedName name="Varz15NLM2">'Varžybos'!$K$78</definedName>
    <definedName name="Varz15NLV1">'Varžybos'!$H$75</definedName>
    <definedName name="Varz15NLV2">'Varžybos'!$H$76</definedName>
    <definedName name="Varz15NLV3">'Varžybos'!$H$77</definedName>
    <definedName name="Varz15TKM1">'Varžybos'!$J$76</definedName>
    <definedName name="Varz15TKM2">'Varžybos'!$J$78</definedName>
    <definedName name="Varz15TKV1">'Varžybos'!$G$75</definedName>
    <definedName name="Varz15TKV2">'Varžybos'!$G$76</definedName>
    <definedName name="Varz15TKV3">'Varžybos'!$G$77</definedName>
    <definedName name="Varz15VK">'Varžybos'!$C$75</definedName>
    <definedName name="Varz16NLM1">'Varžybos'!$K$80</definedName>
    <definedName name="Varz16NLM2">'Varžybos'!$K$82</definedName>
    <definedName name="Varz16NLV1">'Varžybos'!$H$79</definedName>
    <definedName name="Varz16NLV2">'Varžybos'!$H$80</definedName>
    <definedName name="Varz16NLV3">'Varžybos'!$H$81</definedName>
    <definedName name="Varz16TKM1">'Varžybos'!$J$80</definedName>
    <definedName name="Varz16TKM2">'Varžybos'!$J$82</definedName>
    <definedName name="Varz16TKV1">'Varžybos'!$G$79</definedName>
    <definedName name="Varz16TKV2">'Varžybos'!$G$80</definedName>
    <definedName name="Varz16TKV3">'Varžybos'!$G$81</definedName>
    <definedName name="Varz16VK">'Varžybos'!$C$79</definedName>
    <definedName name="Varz17NLM1">'Varžybos'!$K$85</definedName>
    <definedName name="Varz17NLM2">'Varžybos'!$K$86</definedName>
    <definedName name="Varz17NLM3">'Varžybos'!$K$87</definedName>
    <definedName name="Varz17NLV1">'Varžybos'!$H$83</definedName>
    <definedName name="Varz17NLV2">'Varžybos'!$H$84</definedName>
    <definedName name="Varz17NLV3">'Varžybos'!$H$85</definedName>
    <definedName name="Varz17NLV4">'Varžybos'!$H$86</definedName>
    <definedName name="Varz17NLV5">'Varžybos'!$H$87</definedName>
    <definedName name="Varz17TKM1">'Varžybos'!$J$85</definedName>
    <definedName name="Varz17TKM2">'Varžybos'!$J$86</definedName>
    <definedName name="Varz17TKM3">'Varžybos'!$J$87</definedName>
    <definedName name="Varz17TKM4">'Varžybos'!$J$88</definedName>
    <definedName name="Varz17TKV1">'Varžybos'!$G$83</definedName>
    <definedName name="Varz17TKV2">'Varžybos'!$G$84</definedName>
    <definedName name="Varz17TKV3">'Varžybos'!$G$85</definedName>
    <definedName name="Varz17TKV4">'Varžybos'!$G$86</definedName>
    <definedName name="Varz17TKV5">'Varžybos'!$G$87</definedName>
    <definedName name="Varz17VK">'Varžybos'!$C$83</definedName>
    <definedName name="Varz18NLM1">'Varžybos'!$K$91</definedName>
    <definedName name="Varz18NLM2">'Varžybos'!$K$92</definedName>
    <definedName name="Varz18NLM3">'Varžybos'!$K$93</definedName>
    <definedName name="Varz18NLV1">'Varžybos'!$H$89</definedName>
    <definedName name="Varz18NLV2">'Varžybos'!$H$90</definedName>
    <definedName name="Varz18NLV3">'Varžybos'!$H$91</definedName>
    <definedName name="Varz18NLV4">'Varžybos'!$H$92</definedName>
    <definedName name="Varz18NLV5">'Varžybos'!$H$93</definedName>
    <definedName name="Varz18TKM1">'Varžybos'!$J$91</definedName>
    <definedName name="Varz18TKM2">'Varžybos'!$J$92</definedName>
    <definedName name="Varz18TKM3">'Varžybos'!$J$93</definedName>
    <definedName name="Varz18TKM4">'Varžybos'!$J$94</definedName>
    <definedName name="Varz18TKV1">'Varžybos'!$G$89</definedName>
    <definedName name="Varz18TKV2">'Varžybos'!$G$90</definedName>
    <definedName name="Varz18TKV3">'Varžybos'!$G$91</definedName>
    <definedName name="Varz18TKV4">'Varžybos'!$G$92</definedName>
    <definedName name="Varz18TKV5">'Varžybos'!$G$93</definedName>
    <definedName name="Varz18VK">'Varžybos'!$C$89</definedName>
    <definedName name="Varz19NLM1">'Varžybos'!#REF!</definedName>
    <definedName name="Varz19NLM2">'Varžybos'!#REF!</definedName>
    <definedName name="Varz19NLM3">'Varžybos'!$K$95</definedName>
    <definedName name="Varz19NLV1">'Varžybos'!#REF!</definedName>
    <definedName name="Varz19NLV2">'Varžybos'!#REF!</definedName>
    <definedName name="Varz19NLV3">'Varžybos'!#REF!</definedName>
    <definedName name="Varz19NLV4">'Varžybos'!#REF!</definedName>
    <definedName name="Varz19NLV5">'Varžybos'!#REF!</definedName>
    <definedName name="Varz19TKM1">'Varžybos'!#REF!</definedName>
    <definedName name="Varz19TKM2">'Varžybos'!#REF!</definedName>
    <definedName name="Varz19TKM3">'Varžybos'!$J$95</definedName>
    <definedName name="Varz19TKV1">'Varžybos'!#REF!</definedName>
    <definedName name="Varz19TKV2">'Varžybos'!#REF!</definedName>
    <definedName name="Varz19TKV3">'Varžybos'!#REF!</definedName>
    <definedName name="Varz19TKV4">'Varžybos'!#REF!</definedName>
    <definedName name="Varz19TKV5">'Varžybos'!#REF!</definedName>
    <definedName name="Varz19VK">'Varžybos'!#REF!</definedName>
    <definedName name="Varz1NLM1">'Varžybos'!$K$4</definedName>
    <definedName name="Varz1NLM2">'Varžybos'!$K$5</definedName>
    <definedName name="Varz1NLV1">'Varžybos'!$H$3</definedName>
    <definedName name="Varz1NLV2">'Varžybos'!$H$4</definedName>
    <definedName name="Varz1NLV3">'Varžybos'!$H$5</definedName>
    <definedName name="Varz1TKM1">'Varžybos'!$J$4</definedName>
    <definedName name="Varz1TKM2">'Varžybos'!$J$5</definedName>
    <definedName name="Varz1TKV1">'Varžybos'!$G$3</definedName>
    <definedName name="Varz1TKV2">'Varžybos'!$G$4</definedName>
    <definedName name="Varz1TKV3">'Varžybos'!$G$5</definedName>
    <definedName name="Varz1VK">'Varžybos'!$C$3</definedName>
    <definedName name="Varz20NLM1">'Varžybos'!$K$97</definedName>
    <definedName name="Varz20NLM2">'Varžybos'!$K$98</definedName>
    <definedName name="Varz20NLM3">'Varžybos'!$K$99</definedName>
    <definedName name="Varz20NLM4">'Varžybos'!$K$100</definedName>
    <definedName name="Varz20NLV1">'Varžybos'!$H$96</definedName>
    <definedName name="Varz20NLV2">'Varžybos'!$H$97</definedName>
    <definedName name="Varz20NLV3">'Varžybos'!$H$98</definedName>
    <definedName name="Varz20NLV4">'Varžybos'!$H$100</definedName>
    <definedName name="Varz20TKM1">'Varžybos'!$J$97</definedName>
    <definedName name="Varz20TKM2">'Varžybos'!$J$98</definedName>
    <definedName name="Varz20TKM3">'Varžybos'!$J$99</definedName>
    <definedName name="Varz20TKM4">'Varžybos'!$J$100</definedName>
    <definedName name="Varz20TKV1">'Varžybos'!$G$96</definedName>
    <definedName name="Varz20TKV2">'Varžybos'!$G$97</definedName>
    <definedName name="Varz20TKV3">'Varžybos'!$G$98</definedName>
    <definedName name="Varz20TKV4">'Varžybos'!$G$100</definedName>
    <definedName name="Varz20VK">'Varžybos'!$C$96</definedName>
    <definedName name="Varz21NLM1">'Varžybos'!$K$102</definedName>
    <definedName name="Varz21NLM2">'Varžybos'!$K$103</definedName>
    <definedName name="Varz21NLM3">'Varžybos'!$K$104</definedName>
    <definedName name="Varz21NLV1">'Varžybos'!$H$101</definedName>
    <definedName name="Varz21NLV2">'Varžybos'!$H$102</definedName>
    <definedName name="Varz21NLV3">'Varžybos'!$H$103</definedName>
    <definedName name="Varz21NLV4">'Varžybos'!$H$104</definedName>
    <definedName name="Varz21TKM1">'Varžybos'!$J$102</definedName>
    <definedName name="Varz21TKM2">'Varžybos'!$J$103</definedName>
    <definedName name="Varz21TKM3">'Varžybos'!$J$104</definedName>
    <definedName name="Varz21TKV1">'Varžybos'!$G$101</definedName>
    <definedName name="Varz21TKV2">'Varžybos'!$G$102</definedName>
    <definedName name="Varz21TKV3">'Varžybos'!$G$103</definedName>
    <definedName name="Varz21TKV4">'Varžybos'!$G$104</definedName>
    <definedName name="Varz21VK">'Varžybos'!$C$101</definedName>
    <definedName name="Varz22NLM1">'Varžybos'!$K$106</definedName>
    <definedName name="Varz22NLM2">'Varžybos'!$K$107</definedName>
    <definedName name="Varz22NLM3">'Varžybos'!$K$108</definedName>
    <definedName name="Varz22NLV1">'Varžybos'!$H$105</definedName>
    <definedName name="Varz22NLV2">'Varžybos'!$H$106</definedName>
    <definedName name="Varz22NLV3">'Varžybos'!$H$107</definedName>
    <definedName name="Varz22NLV4">'Varžybos'!$H$108</definedName>
    <definedName name="Varz22TKM1">'Varžybos'!$J$106</definedName>
    <definedName name="Varz22TKM2">'Varžybos'!$J$107</definedName>
    <definedName name="Varz22TKM3">'Varžybos'!$J$108</definedName>
    <definedName name="Varz22TKV1">'Varžybos'!$G$105</definedName>
    <definedName name="Varz22TKV2">'Varžybos'!$G$106</definedName>
    <definedName name="Varz22TKV3">'Varžybos'!$G$107</definedName>
    <definedName name="Varz22TKV4">'Varžybos'!$G$108</definedName>
    <definedName name="Varz22VK">'Varžybos'!$C$105</definedName>
    <definedName name="Varz23NLM1">'Varžybos'!$K$110</definedName>
    <definedName name="Varz23NLM2">'Varžybos'!$K$111</definedName>
    <definedName name="Varz23NLV1">'Varžybos'!$H$109</definedName>
    <definedName name="Varz23NLV2">'Varžybos'!$H$110</definedName>
    <definedName name="Varz23NLV3">'Varžybos'!$H$112</definedName>
    <definedName name="Varz23TKM1">'Varžybos'!$J$110</definedName>
    <definedName name="Varz23TKM2">'Varžybos'!$J$111</definedName>
    <definedName name="Varz23TKV1">'Varžybos'!$G$109</definedName>
    <definedName name="Varz23TKV2">'Varžybos'!$G$110</definedName>
    <definedName name="Varz23TKV3">'Varžybos'!$G$112</definedName>
    <definedName name="Varz23VK">'Varžybos'!$C$109</definedName>
    <definedName name="Varz24NLM1">'Varžybos'!$K$114</definedName>
    <definedName name="Varz24NLM2">'Varžybos'!$K$115</definedName>
    <definedName name="Varz24NLV1">'Varžybos'!$H$113</definedName>
    <definedName name="Varz24NLV2">'Varžybos'!$H$114</definedName>
    <definedName name="Varz24NLV3">'Varžybos'!$H$116</definedName>
    <definedName name="Varz24TKM1">'Varžybos'!$J$114</definedName>
    <definedName name="Varz24TKM2">'Varžybos'!$J$115</definedName>
    <definedName name="Varz24TKV1">'Varžybos'!$G$113</definedName>
    <definedName name="Varz24TKV2">'Varžybos'!$G$114</definedName>
    <definedName name="Varz24TKV3">'Varžybos'!$G$116</definedName>
    <definedName name="Varz24VK">'Varžybos'!$C$113</definedName>
    <definedName name="Varz25NLM1">'Varžybos'!$K$118</definedName>
    <definedName name="Varz25NLM2">'Varžybos'!$K$119</definedName>
    <definedName name="Varz25NLV1">'Varžybos'!$H$117</definedName>
    <definedName name="Varz25NLV2">'Varžybos'!$H$118</definedName>
    <definedName name="Varz25NLV3">'Varžybos'!$H$120</definedName>
    <definedName name="Varz25TKM1">'Varžybos'!$J$118</definedName>
    <definedName name="Varz25TKM2">'Varžybos'!$J$119</definedName>
    <definedName name="Varz25TKV1">'Varžybos'!$G$117</definedName>
    <definedName name="Varz25TKV2">'Varžybos'!$G$118</definedName>
    <definedName name="Varz25TKV3">'Varžybos'!$G$120</definedName>
    <definedName name="Varz25VK">'Varžybos'!$C$117</definedName>
    <definedName name="Varz26NLM1">'Varžybos'!$K$122</definedName>
    <definedName name="Varz26NLM2">'Varžybos'!$K$123</definedName>
    <definedName name="Varz26NLV1">'Varžybos'!$H$121</definedName>
    <definedName name="Varz26NLV2">'Varžybos'!$H$122</definedName>
    <definedName name="Varz26NLV3">'Varžybos'!$H$124</definedName>
    <definedName name="Varz26TKM1">'Varžybos'!$J$122</definedName>
    <definedName name="Varz26TKM2">'Varžybos'!$J$123</definedName>
    <definedName name="Varz26TKV1">'Varžybos'!$G$121</definedName>
    <definedName name="Varz26TKV2">'Varžybos'!$G$122</definedName>
    <definedName name="Varz26TKV3">'Varžybos'!$G$124</definedName>
    <definedName name="Varz26VK">'Varžybos'!$C$121</definedName>
    <definedName name="Varz2NLM1">'Varžybos'!$K$7</definedName>
    <definedName name="Varz2NLM2">'Varžybos'!$K$8</definedName>
    <definedName name="Varz2NLM3">'Varžybos'!#REF!</definedName>
    <definedName name="Varz2NLV1">'Varžybos'!$H$6</definedName>
    <definedName name="Varz2NLV2">'Varžybos'!$H$7</definedName>
    <definedName name="Varz2NLV3">'Varžybos'!$H$8</definedName>
    <definedName name="Varz2TKM1">'Varžybos'!$J$7</definedName>
    <definedName name="Varz2TKM2">'Varžybos'!$J$8</definedName>
    <definedName name="Varz2TKM3">'Varžybos'!#REF!</definedName>
    <definedName name="Varz2TKV1">'Varžybos'!$G$6</definedName>
    <definedName name="Varz2TKV2">'Varžybos'!$G$7</definedName>
    <definedName name="Varz2TKV3">'Varžybos'!$G$8</definedName>
    <definedName name="Varz2VK">'Varžybos'!$C$6</definedName>
    <definedName name="Varz3NLM1">'Varžybos'!$K$11</definedName>
    <definedName name="Varz3NLM2">'Varžybos'!$K$12</definedName>
    <definedName name="Varz3NLM3">'Varžybos'!$K$12</definedName>
    <definedName name="Varz3NLM4">'Varžybos'!$G$12</definedName>
    <definedName name="Varz3NLV1">'Varžybos'!$H$9</definedName>
    <definedName name="Varz3NLV2">'Varžybos'!$H$10</definedName>
    <definedName name="Varz3NLV3">'Varžybos'!$H$11</definedName>
    <definedName name="Varz3NLV4">'Varžybos'!$H$12</definedName>
    <definedName name="Varz3TKM1">'Varžybos'!$J$11</definedName>
    <definedName name="Varz3TKM2">'Varžybos'!$J$12</definedName>
    <definedName name="Varz3TKV1">'Varžybos'!$G$9</definedName>
    <definedName name="Varz3TKV2">'Varžybos'!$G$10</definedName>
    <definedName name="Varz3TKV3">'Varžybos'!$G$11</definedName>
    <definedName name="Varz3TKV4">'Varžybos'!$G$12</definedName>
    <definedName name="Varz3VK">'Varžybos'!$C$9</definedName>
    <definedName name="Varz4NLM1">'Varžybos'!$K$14</definedName>
    <definedName name="Varz4NLM2">'Varžybos'!$K$16</definedName>
    <definedName name="Varz4NLV1">'Varžybos'!$H$13</definedName>
    <definedName name="Varz4NLV2">'Varžybos'!$H$14</definedName>
    <definedName name="Varz4NLV3">'Varžybos'!$H$15</definedName>
    <definedName name="Varz4NLV4">'Varžybos'!$H$16</definedName>
    <definedName name="Varz4TKM1">'Varžybos'!$J$18</definedName>
    <definedName name="Varz4TKM2">'Varžybos'!$J$16</definedName>
    <definedName name="Varz4TKV1">'Varžybos'!$G$13</definedName>
    <definedName name="Varz4TKV2">'Varžybos'!$G$14</definedName>
    <definedName name="Varz4TKV3">'Varžybos'!$G$15</definedName>
    <definedName name="Varz4TKV4">'Varžybos'!$G$16</definedName>
    <definedName name="Varz4VK">'Varžybos'!$C$13</definedName>
    <definedName name="Varz5NLM1">'Varžybos'!$K$18</definedName>
    <definedName name="Varz5NLM2">'Varžybos'!$K$19</definedName>
    <definedName name="Varz5NLM3">'Varžybos'!$K$21</definedName>
    <definedName name="Varz5NLM4">'Varžybos'!$K$22</definedName>
    <definedName name="Varz5NLV1">'Varžybos'!$H$17</definedName>
    <definedName name="Varz5NLV2">'Varžybos'!$H$18</definedName>
    <definedName name="Varz5NLV3">'Varžybos'!$H$19</definedName>
    <definedName name="Varz5NLV4">'Varžybos'!$H$20</definedName>
    <definedName name="VARZ5NLV5">'Varžybos'!$H$22</definedName>
    <definedName name="Varz5TKM1">'Varžybos'!$J$18</definedName>
    <definedName name="Varz5TKM2">'Varžybos'!$J$19</definedName>
    <definedName name="Varz5TKM3">'Varžybos'!$J$21</definedName>
    <definedName name="Varz5TKM4">'Varžybos'!$J$22</definedName>
    <definedName name="Varz5TKV1">'Varžybos'!$G$17</definedName>
    <definedName name="Varz5TKV2">'Varžybos'!$G$18</definedName>
    <definedName name="Varz5TKV3">'Varžybos'!$G$19</definedName>
    <definedName name="Varz5TKV4">'Varžybos'!$G$20</definedName>
    <definedName name="Varz5TKV5">'Varžybos'!$G$22</definedName>
    <definedName name="Varz5VK">'Varžybos'!$C$17</definedName>
    <definedName name="Varz6NLM1">'Varžybos'!$K$24</definedName>
    <definedName name="Varz6NLM2">'Varžybos'!$K$25</definedName>
    <definedName name="Varz6NLM3">'Varžybos'!$K$27</definedName>
    <definedName name="Varz6NLM4">'Varžybos'!$K$28</definedName>
    <definedName name="Varz6NLV1">'Varžybos'!$H$23</definedName>
    <definedName name="Varz6NLV2">'Varžybos'!$H$24</definedName>
    <definedName name="Varz6NLV3">'Varžybos'!$H$25</definedName>
    <definedName name="Varz6NLV4">'Varžybos'!$H$26</definedName>
    <definedName name="Varz6NLV5">'Varžybos'!$H$28</definedName>
    <definedName name="Varz6TKM1">'Varžybos'!$J$24</definedName>
    <definedName name="Varz6TKM2">'Varžybos'!$J$25</definedName>
    <definedName name="Varz6TKM3">'Varžybos'!$J$27</definedName>
    <definedName name="Varz6TKM4">'Varžybos'!$J$28</definedName>
    <definedName name="Varz6TKV1">'Varžybos'!$G$23</definedName>
    <definedName name="Varz6TKV2">'Varžybos'!$G$24</definedName>
    <definedName name="Varz6TKV3">'Varžybos'!$G$25</definedName>
    <definedName name="Varz6TKV4">'Varžybos'!$G$26</definedName>
    <definedName name="Varz6TKV5">'Varžybos'!$G$28</definedName>
    <definedName name="Varz6VK">'Varžybos'!$C$23</definedName>
    <definedName name="Varz7NLM1">'Varžybos'!$K$30</definedName>
    <definedName name="Varz7NLM2">'Varžybos'!$K$31</definedName>
    <definedName name="Varz7NLM3">'Varžybos'!$K$33</definedName>
    <definedName name="Varz7NLM4">'Varžybos'!$K$34</definedName>
    <definedName name="Varz7NLV1">'Varžybos'!$H$29</definedName>
    <definedName name="Varz7NLV2">'Varžybos'!$H$30</definedName>
    <definedName name="Varz7NLV3">'Varžybos'!$H$31</definedName>
    <definedName name="Varz7NLV4">'Varžybos'!$H$32</definedName>
    <definedName name="Varz7NLV5">'Varžybos'!$H$34</definedName>
    <definedName name="Varz7TKM1">'Varžybos'!$J$30</definedName>
    <definedName name="Varz7TKM2">'Varžybos'!$J$31</definedName>
    <definedName name="Varz7TKM3">'Varžybos'!$J$33</definedName>
    <definedName name="Varz7TKM4">'Varžybos'!$J$34</definedName>
    <definedName name="Varz7TKV1">'Varžybos'!$G$29</definedName>
    <definedName name="Varz7TKV2">'Varžybos'!$G$30</definedName>
    <definedName name="Varz7TKV3">'Varžybos'!$G$31</definedName>
    <definedName name="Varz7TKV4">'Varžybos'!$G$32</definedName>
    <definedName name="Varz7TKV5">'Varžybos'!$G$34</definedName>
    <definedName name="Varz7VK">'Varžybos'!$C$29</definedName>
    <definedName name="Varz8NLM1">'Varžybos'!$K$36</definedName>
    <definedName name="Varz8NLM2">'Varžybos'!$K$37</definedName>
    <definedName name="Varz8NLM3">'Varžybos'!$K$38</definedName>
    <definedName name="Varz8NLM4">'Varžybos'!$K$39</definedName>
    <definedName name="Varz8NLM5">'Varžybos'!$K$40</definedName>
    <definedName name="Varz8NLV1">'Varžybos'!$H$35</definedName>
    <definedName name="Varz8NLV2">'Varžybos'!$H$36</definedName>
    <definedName name="Varz8NLV3">'Varžybos'!$H$37</definedName>
    <definedName name="Varz8NLV4">'Varžybos'!$H$38</definedName>
    <definedName name="Varz8NLV5">'Varžybos'!$H$39</definedName>
    <definedName name="Varz8NLV6">'Varžybos'!$H$40</definedName>
    <definedName name="Varz8TKM1">'Varžybos'!$J$36</definedName>
    <definedName name="Varz8TKM2">'Varžybos'!$J$37</definedName>
    <definedName name="Varz8TKM3">'Varžybos'!$J$38</definedName>
    <definedName name="Varz8TKM4">'Varžybos'!$J$39</definedName>
    <definedName name="Varz8TKM5">'Varžybos'!$J$40</definedName>
    <definedName name="Varz8TKV1">'Varžybos'!$G$35</definedName>
    <definedName name="Varz8TKV2">'Varžybos'!$G$36</definedName>
    <definedName name="Varz8TKV3">'Varžybos'!$G$37</definedName>
    <definedName name="Varz8TKV4">'Varžybos'!$G$38</definedName>
    <definedName name="Varz8TKV5">'Varžybos'!$G$39</definedName>
    <definedName name="Varz8TKV6">'Varžybos'!$G$40</definedName>
    <definedName name="Varz8VK">'Varžybos'!$C$35</definedName>
    <definedName name="Varz9NLM1">'Varžybos'!$K$42</definedName>
    <definedName name="Varz9NLM2">'Varžybos'!$K$44</definedName>
    <definedName name="Varz9NLM3">'Varžybos'!$K$45</definedName>
    <definedName name="Varz9NLM4">'Varžybos'!$K$46</definedName>
    <definedName name="Varz9NLV1">'Varžybos'!$H$41</definedName>
    <definedName name="Varz9NLV2">'Varžybos'!$H$43</definedName>
    <definedName name="Varz9NLV3">'Varžybos'!$H$44</definedName>
    <definedName name="Varz9NLV4">'Varžybos'!$H$45</definedName>
    <definedName name="Varz9NLV5">'Varžybos'!$H$46</definedName>
    <definedName name="Varz9TKM1">'Varžybos'!$J$42</definedName>
    <definedName name="Varz9TKM2">'Varžybos'!$J$44</definedName>
    <definedName name="Varz9TKM3">'Varžybos'!$J$45</definedName>
    <definedName name="Varz9TKM4">'Varžybos'!$J$46</definedName>
    <definedName name="Varz9TKV1">'Varžybos'!$G$41</definedName>
    <definedName name="Varz9TKV2">'Varžybos'!$G$43</definedName>
    <definedName name="Varz9TKV3">'Varžybos'!$G$44</definedName>
    <definedName name="Varz9TKV4">'Varžybos'!$G$45</definedName>
    <definedName name="varz9TKV5">'Varžybos'!$G$46</definedName>
    <definedName name="Varz9VK">'Varžybos'!$C$41</definedName>
    <definedName name="VVarz21TKM1">'Varžybos'!$J$102</definedName>
  </definedNames>
  <calcPr fullCalcOnLoad="1"/>
</workbook>
</file>

<file path=xl/sharedStrings.xml><?xml version="1.0" encoding="utf-8"?>
<sst xmlns="http://schemas.openxmlformats.org/spreadsheetml/2006/main" count="6123" uniqueCount="877">
  <si>
    <t>MBV18</t>
  </si>
  <si>
    <t>V1</t>
  </si>
  <si>
    <t>V2</t>
  </si>
  <si>
    <t>M1</t>
  </si>
  <si>
    <t>M2</t>
  </si>
  <si>
    <t>Parametrai</t>
  </si>
  <si>
    <t>Nr.</t>
  </si>
  <si>
    <t>Trasa (vyrai)</t>
  </si>
  <si>
    <t>Trasa (moterys)</t>
  </si>
  <si>
    <t>Varžybų koef.</t>
  </si>
  <si>
    <t>LTU</t>
  </si>
  <si>
    <t>Fortūna OK, Vilnius</t>
  </si>
  <si>
    <t>Umbrasaitė Justė</t>
  </si>
  <si>
    <t>Vilniaus SC</t>
  </si>
  <si>
    <t>Stanevičienė Rūta</t>
  </si>
  <si>
    <t>Labirintas OK, Vilnius</t>
  </si>
  <si>
    <t>Plyševskaja Kira</t>
  </si>
  <si>
    <t>Būdakalnis OK, Vilnius</t>
  </si>
  <si>
    <t>Arlauskienė Ramunė</t>
  </si>
  <si>
    <t>Būdakalnis OK, Ignalina</t>
  </si>
  <si>
    <t>Babrauskaitė Patricija</t>
  </si>
  <si>
    <t>Perkūnas OK, Vilniaus m. SC, Vilnius</t>
  </si>
  <si>
    <t>Kmieliauskaitė Ramunė</t>
  </si>
  <si>
    <t>Dainava OK, Kaunas</t>
  </si>
  <si>
    <t>Paulauskienė Renata</t>
  </si>
  <si>
    <t>Medeina OK, Kaunas</t>
  </si>
  <si>
    <t>Šimkonienė Asta</t>
  </si>
  <si>
    <t>Medeina OK, Šlienava</t>
  </si>
  <si>
    <t>Kalvaitis Nojus</t>
  </si>
  <si>
    <t>Būdakalnis OK, SM Gaja, Kaunas</t>
  </si>
  <si>
    <t>Šimkonis Andrius</t>
  </si>
  <si>
    <t>TSMK "Raidas", Šlienava</t>
  </si>
  <si>
    <t>Velde Matiss</t>
  </si>
  <si>
    <t>Pedalai.lt, Vilnius</t>
  </si>
  <si>
    <t>Žvirblis Arvydas</t>
  </si>
  <si>
    <t>Apuokas OK, Vilnius</t>
  </si>
  <si>
    <t>Jurgelevičius Audrius</t>
  </si>
  <si>
    <t>Elektrėnų keliautojų klubas, Elektrėnai</t>
  </si>
  <si>
    <t>Kasevičius Edmundas</t>
  </si>
  <si>
    <t>OK Jaunystė, Klaipėda</t>
  </si>
  <si>
    <t>Morėnas Saulius</t>
  </si>
  <si>
    <t>Fortūna OK, Kaunas</t>
  </si>
  <si>
    <t>Zdanavičius Tomas</t>
  </si>
  <si>
    <t>Dainava OK, Vilnius</t>
  </si>
  <si>
    <t>Andrašiūnas Petras</t>
  </si>
  <si>
    <t>Sakas OK, Vilnius</t>
  </si>
  <si>
    <t>Kalvaitis Darius</t>
  </si>
  <si>
    <t>Būdakalnis OK, Kaunas</t>
  </si>
  <si>
    <t>Malūkas Arūnas</t>
  </si>
  <si>
    <t>Telšiai OK, Telšiai</t>
  </si>
  <si>
    <t>Masilionis Remigijus</t>
  </si>
  <si>
    <t>Fortūna OK, radio-o.lt, Elektrėnai</t>
  </si>
  <si>
    <t>Matulevičius Virginijus</t>
  </si>
  <si>
    <t>Dainava OK, Alytus</t>
  </si>
  <si>
    <t>Miliūnas Vytenis</t>
  </si>
  <si>
    <t>Neringos SM</t>
  </si>
  <si>
    <t>Pilybas Egidijus</t>
  </si>
  <si>
    <t>Neringos SM / Kopa OK, Klaipėda</t>
  </si>
  <si>
    <t>Platakis Audrius</t>
  </si>
  <si>
    <t>Rubaževičius Jurgis</t>
  </si>
  <si>
    <t>Žigilėjus Aidas</t>
  </si>
  <si>
    <t>Stunža Domas</t>
  </si>
  <si>
    <t>Krantas OK, Panevėžys</t>
  </si>
  <si>
    <t>Stunža Egidijus</t>
  </si>
  <si>
    <t>MBV40</t>
  </si>
  <si>
    <t>MBM40</t>
  </si>
  <si>
    <t>Ambrazas Ignas</t>
  </si>
  <si>
    <t>Sakas OK, Šiauliai</t>
  </si>
  <si>
    <t>Špukaitė Karolina</t>
  </si>
  <si>
    <t>Šiaulių JTC, Šiauliai</t>
  </si>
  <si>
    <t>Jurgaitis Martynas</t>
  </si>
  <si>
    <t>Bikulč Artūras</t>
  </si>
  <si>
    <t>OK Šiurpys, Druskininkai</t>
  </si>
  <si>
    <t>Buivydas Audrius</t>
  </si>
  <si>
    <t>Kopa OK, Klaipėda</t>
  </si>
  <si>
    <t>Greitjurgis Donatas</t>
  </si>
  <si>
    <t>velomanai, kaunas</t>
  </si>
  <si>
    <t>Grigaitis Tomas</t>
  </si>
  <si>
    <t>Jurgaitis Vaidas</t>
  </si>
  <si>
    <t>Klicner Tomas</t>
  </si>
  <si>
    <t>S-sportas, Šiauliai</t>
  </si>
  <si>
    <t>Kondrotas Raimondas</t>
  </si>
  <si>
    <t>Staranevičius Algimantas</t>
  </si>
  <si>
    <t>Saulė OK, Vilnius</t>
  </si>
  <si>
    <t>Michnovič Viktorija</t>
  </si>
  <si>
    <t>Puišienė Roma</t>
  </si>
  <si>
    <t>Zaliauskaitė Algirda</t>
  </si>
  <si>
    <t>Eil.Nr.</t>
  </si>
  <si>
    <t>NL</t>
  </si>
  <si>
    <t>Vyrai</t>
  </si>
  <si>
    <t>Moterys</t>
  </si>
  <si>
    <t>Trasos, grupės</t>
  </si>
  <si>
    <t>Dautartaitė Milda</t>
  </si>
  <si>
    <t>Januškevičienė Asta</t>
  </si>
  <si>
    <t>Naryshkina Olga</t>
  </si>
  <si>
    <t>BLR</t>
  </si>
  <si>
    <t>BSU, Minsk</t>
  </si>
  <si>
    <t>Orlova Svetlana</t>
  </si>
  <si>
    <t>Kamvol, Minsk</t>
  </si>
  <si>
    <t>Reinartaitė Vaida</t>
  </si>
  <si>
    <t>Amontaitė Agnė</t>
  </si>
  <si>
    <t>S-Sportas, Šiauliai</t>
  </si>
  <si>
    <t>Kalvelytė Viktorija</t>
  </si>
  <si>
    <t>ind., Kaunas</t>
  </si>
  <si>
    <t>Rubaževičiūtė Eglė</t>
  </si>
  <si>
    <t>MBWE</t>
  </si>
  <si>
    <t>MBWA</t>
  </si>
  <si>
    <t>Michnovič Ina</t>
  </si>
  <si>
    <t>MBW40</t>
  </si>
  <si>
    <t>Rubaževičienė Giedrė</t>
  </si>
  <si>
    <t>Fortūna OK, Sietyno SM, Vilnius</t>
  </si>
  <si>
    <t>Rubaževičiūtė Ūla</t>
  </si>
  <si>
    <t>ind.</t>
  </si>
  <si>
    <t>Ambrazas Svajūnas</t>
  </si>
  <si>
    <t>Bazhanski Vitaly</t>
  </si>
  <si>
    <t>Dmukauskas Šarūnas</t>
  </si>
  <si>
    <t>Dobilinskas Martynas</t>
  </si>
  <si>
    <t>ind., Vilnius</t>
  </si>
  <si>
    <t>Juodišius Julius</t>
  </si>
  <si>
    <t>Kavaliauskas Regimantas</t>
  </si>
  <si>
    <t>Petrulis Vitalijus</t>
  </si>
  <si>
    <t>Žilinskas Tautvydas</t>
  </si>
  <si>
    <t>Zaliauskas Tautvydas</t>
  </si>
  <si>
    <t>Minchukov Alexander</t>
  </si>
  <si>
    <t>Mironov Dmitri</t>
  </si>
  <si>
    <t>Naryshkin Mihail</t>
  </si>
  <si>
    <t>Zeos, Minsk</t>
  </si>
  <si>
    <t>Maišelis Jonas</t>
  </si>
  <si>
    <t>Mickus Donatas</t>
  </si>
  <si>
    <t>Tomashevskiy Eduard</t>
  </si>
  <si>
    <t>ind., Kaliningrad</t>
  </si>
  <si>
    <t>RUS</t>
  </si>
  <si>
    <t>Griškonis Tomas</t>
  </si>
  <si>
    <t>Dream Team, Klaipėda</t>
  </si>
  <si>
    <t>Niadzelka Aliaksei</t>
  </si>
  <si>
    <t>Puišys Algirdas</t>
  </si>
  <si>
    <t>Sluch, Sluck</t>
  </si>
  <si>
    <t>Gluchov Alexander</t>
  </si>
  <si>
    <t>Kavaliauskas Vilius</t>
  </si>
  <si>
    <t>Petrauskas Dovydas</t>
  </si>
  <si>
    <t>Šinkevičius Dovydas</t>
  </si>
  <si>
    <t>Zaicev Nikita</t>
  </si>
  <si>
    <t>Dush team</t>
  </si>
  <si>
    <t>Panevėžio KKSC, Panevėžys</t>
  </si>
  <si>
    <t>Jurgelevičius Saulius</t>
  </si>
  <si>
    <t>Elektrėnų keliautojų klubas, Vilnius</t>
  </si>
  <si>
    <t>Kesa Margus</t>
  </si>
  <si>
    <t>Ąžuolas OK, Vilnius</t>
  </si>
  <si>
    <t>Komarovas Cezijus</t>
  </si>
  <si>
    <t>Kviecinskas Kęstutis</t>
  </si>
  <si>
    <t>OK Dainava, Alytus</t>
  </si>
  <si>
    <t>Rudėnas Darius</t>
  </si>
  <si>
    <t>Zaliauskas Vincas</t>
  </si>
  <si>
    <t>Alytaus čempionatas, 2015.04.11</t>
  </si>
  <si>
    <t>suma</t>
  </si>
  <si>
    <t>Vilnius 2015, 2015.05.08</t>
  </si>
  <si>
    <t>Vilnius 2015, 2015.05.09</t>
  </si>
  <si>
    <t>Vilnius 2015, 2015.05.10</t>
  </si>
  <si>
    <t>V3</t>
  </si>
  <si>
    <t>M3</t>
  </si>
  <si>
    <t>TK</t>
  </si>
  <si>
    <t>Benetis Vytenis</t>
  </si>
  <si>
    <t>Strumskis Mindaugas</t>
  </si>
  <si>
    <t>Perkūnas OK, Vilnius</t>
  </si>
  <si>
    <t>Stankevičius Vilius</t>
  </si>
  <si>
    <t>Latvijas MTBO daudzienas, 2015.05.15</t>
  </si>
  <si>
    <t>Hallik Margus</t>
  </si>
  <si>
    <t>Gaupšas Mantas</t>
  </si>
  <si>
    <t>Baltijos šalių OSKD čempionatas, 2015.05.16</t>
  </si>
  <si>
    <t>Baltijos šalių OSKD čempionatas, 2015.05.17</t>
  </si>
  <si>
    <t>EST</t>
  </si>
  <si>
    <t>Sakas</t>
  </si>
  <si>
    <t>V4</t>
  </si>
  <si>
    <t>V5</t>
  </si>
  <si>
    <t>M4</t>
  </si>
  <si>
    <t>Lietuvos OSKD čempionatas, 2015.05.30</t>
  </si>
  <si>
    <t>Lietuvos OSKD čempionatas, 2015.05.31</t>
  </si>
  <si>
    <t>Abukaitytė Rugilė</t>
  </si>
  <si>
    <t>Gapšytė Gintarė</t>
  </si>
  <si>
    <t>Gapšytė Ieva</t>
  </si>
  <si>
    <t>Jatulytė Austėja</t>
  </si>
  <si>
    <t>Šiaulytė Kristina</t>
  </si>
  <si>
    <t>Kalvaitytė Austėja</t>
  </si>
  <si>
    <t>Kazanavičiūtė Julija</t>
  </si>
  <si>
    <t>Martinkutė Rugilė</t>
  </si>
  <si>
    <t>Stankevičiūtė Greta</t>
  </si>
  <si>
    <t>Lange Indra</t>
  </si>
  <si>
    <t>LAT</t>
  </si>
  <si>
    <t>ind., Riga</t>
  </si>
  <si>
    <t>Lukoševičienė Rima</t>
  </si>
  <si>
    <t>Samčenkienė Dainora</t>
  </si>
  <si>
    <t>Pareigytė Rūta</t>
  </si>
  <si>
    <t>Neringos SM, Neringa</t>
  </si>
  <si>
    <t>Pociūtė Kurlavičienė Edita</t>
  </si>
  <si>
    <t>Ranonienė Loreta</t>
  </si>
  <si>
    <t>S-Sportas, Kaunas</t>
  </si>
  <si>
    <t>Strumskienė Živilė</t>
  </si>
  <si>
    <t>Knēta Mārīte</t>
  </si>
  <si>
    <t>Strazdiņa Aiga</t>
  </si>
  <si>
    <t>Šmite Ingrīda</t>
  </si>
  <si>
    <t>Zobena Dina</t>
  </si>
  <si>
    <t>Meridiāns, Cēsis</t>
  </si>
  <si>
    <t>IK Auseklis, Baldone</t>
  </si>
  <si>
    <t xml:space="preserve"> Purva Bridejs</t>
  </si>
  <si>
    <t>Mona, Cēsis</t>
  </si>
  <si>
    <t>Baranauskas Augustas</t>
  </si>
  <si>
    <t>Barila Astijus</t>
  </si>
  <si>
    <t>Girkantas Donatas</t>
  </si>
  <si>
    <t>Gogelis Karolis</t>
  </si>
  <si>
    <t>Jaseliūnas Kajus</t>
  </si>
  <si>
    <t>Latovinas Ugnius</t>
  </si>
  <si>
    <t>Meyer Joris</t>
  </si>
  <si>
    <t>Šambarys Liutauras</t>
  </si>
  <si>
    <t>Šegžda Arnas</t>
  </si>
  <si>
    <t>Valantis Kajus</t>
  </si>
  <si>
    <t>Takas OK, Kaunas</t>
  </si>
  <si>
    <t>M14</t>
  </si>
  <si>
    <t>Lažaunikas Rytis</t>
  </si>
  <si>
    <t>Meškauskas Aivaras</t>
  </si>
  <si>
    <t>Norvilis Rokas</t>
  </si>
  <si>
    <t>Račys Edvinas</t>
  </si>
  <si>
    <t>Jaseliūnas Ignas</t>
  </si>
  <si>
    <t>Gedminas Gytis</t>
  </si>
  <si>
    <t>M50</t>
  </si>
  <si>
    <t>Balčius Gintaras</t>
  </si>
  <si>
    <t>Igtisa, Šiauliai</t>
  </si>
  <si>
    <t>Daukšas Mindaugas</t>
  </si>
  <si>
    <t>Drakšas Remigijus</t>
  </si>
  <si>
    <t>Januškevičius Regimantas</t>
  </si>
  <si>
    <t>Petrauskas Gediminas</t>
  </si>
  <si>
    <t>Pocius Audrius</t>
  </si>
  <si>
    <t>Ruminas Antanas</t>
  </si>
  <si>
    <t>Šegžda Donatas</t>
  </si>
  <si>
    <t>Tėvelis Ričardas</t>
  </si>
  <si>
    <t>S-Sportas, Šiaulių JTC, Šiauliai</t>
  </si>
  <si>
    <t>Jaunystė OK, Klaipėda</t>
  </si>
  <si>
    <t>Stankevičius Tomas</t>
  </si>
  <si>
    <t>M21</t>
  </si>
  <si>
    <t>Antanavičius Kęstutis</t>
  </si>
  <si>
    <t>Bričonoks Edgars</t>
  </si>
  <si>
    <t>OK Kāpa, Carnikava</t>
  </si>
  <si>
    <t>Buožys Egidijus</t>
  </si>
  <si>
    <t>Gerasimov Andrej</t>
  </si>
  <si>
    <t>Igtisa SK, Šiauliai</t>
  </si>
  <si>
    <t>Gruzde Eriks</t>
  </si>
  <si>
    <t>Meridians OK, Cesis</t>
  </si>
  <si>
    <t>Gulbinas Marius</t>
  </si>
  <si>
    <t>Heinols Atis</t>
  </si>
  <si>
    <t>ZVOC-VBSS, Valmiera</t>
  </si>
  <si>
    <t>Janeliūnas Remigijus</t>
  </si>
  <si>
    <t>S-Sportas</t>
  </si>
  <si>
    <t>Jovaišas Kęstutis</t>
  </si>
  <si>
    <t>Jurevičius Antanas</t>
  </si>
  <si>
    <t>Arboro OK, Krekenava</t>
  </si>
  <si>
    <t>Karaša Darius</t>
  </si>
  <si>
    <t>Kivilius Laimonas</t>
  </si>
  <si>
    <t>Tinklas, Šiauliai</t>
  </si>
  <si>
    <t>Kulikauskas Egidijus</t>
  </si>
  <si>
    <t>Kurlavičius Paulius</t>
  </si>
  <si>
    <t>Lasmanis Martinš</t>
  </si>
  <si>
    <t>IK Auseklis</t>
  </si>
  <si>
    <t>Liubartas Artūras</t>
  </si>
  <si>
    <t>Maceikis Vaidas</t>
  </si>
  <si>
    <t>Mikalauskas Paulius</t>
  </si>
  <si>
    <t>Pocevičius Mantas</t>
  </si>
  <si>
    <t>Pumputis Ignas</t>
  </si>
  <si>
    <t>ind, Šiauliai</t>
  </si>
  <si>
    <t>Ranonis Gediminas</t>
  </si>
  <si>
    <t>Rēns Eduards</t>
  </si>
  <si>
    <t>A2, Riga</t>
  </si>
  <si>
    <t>Skabeikis Mantas</t>
  </si>
  <si>
    <t>Šegžda Teisutis</t>
  </si>
  <si>
    <t>Valantinas Giedrius</t>
  </si>
  <si>
    <t>Valauskas Gintautas</t>
  </si>
  <si>
    <t>Valskis Darius</t>
  </si>
  <si>
    <t>Veits Toms</t>
  </si>
  <si>
    <t>Purva Bridejs</t>
  </si>
  <si>
    <t>Voiceščuks Uģis</t>
  </si>
  <si>
    <t>VIPSPORT, Riga</t>
  </si>
  <si>
    <t>Zetmanis Aivis</t>
  </si>
  <si>
    <t>OK Azimuts, Smiltene</t>
  </si>
  <si>
    <t>Šimaitis Ignas</t>
  </si>
  <si>
    <t>Latovinas Nedas</t>
  </si>
  <si>
    <t>Anužis Vytautas</t>
  </si>
  <si>
    <t>Tinklas, Šiaulai</t>
  </si>
  <si>
    <t>Kauke Inese</t>
  </si>
  <si>
    <t>Briksnis, Riga</t>
  </si>
  <si>
    <t>Andrašiūnienė Gabrielė</t>
  </si>
  <si>
    <t>Takas, 2015.06.18</t>
  </si>
  <si>
    <t>Takas, 2015.06.19</t>
  </si>
  <si>
    <t>Takas, 2015.06.20</t>
  </si>
  <si>
    <t>Takas, 2015.06.21</t>
  </si>
  <si>
    <t>V21</t>
  </si>
  <si>
    <t>Latvijos OSKD čempionatas, 2015.07.04</t>
  </si>
  <si>
    <t>Mickevičius Karolis</t>
  </si>
  <si>
    <t>Briedis</t>
  </si>
  <si>
    <t>Kundrotaitė Erika</t>
  </si>
  <si>
    <t>TSMK Raidas, Kaišiadorys</t>
  </si>
  <si>
    <t>Kornei Alina</t>
  </si>
  <si>
    <t>DUSSH, Svetlogorsk</t>
  </si>
  <si>
    <t>Kukhto Piotr</t>
  </si>
  <si>
    <t>Shumel Viktar</t>
  </si>
  <si>
    <t>Baklan, Minsk</t>
  </si>
  <si>
    <t xml:space="preserve"> Kronan, Grodno</t>
  </si>
  <si>
    <t>Shylak Aliaksei</t>
  </si>
  <si>
    <t>Yurok Anton</t>
  </si>
  <si>
    <t>Valiukevičius Andrius</t>
  </si>
  <si>
    <t>Klajūnas OK, Vilnius</t>
  </si>
  <si>
    <t>Nikolaev Greg</t>
  </si>
  <si>
    <t>Docius Vilius</t>
  </si>
  <si>
    <t>Sannikau Siarhei</t>
  </si>
  <si>
    <t>BSPU, Minsk</t>
  </si>
  <si>
    <t>dalyvauta</t>
  </si>
  <si>
    <t>11-os geriausių suma</t>
  </si>
  <si>
    <t>Latvijos OSKD čempionatas, 2015.08.01</t>
  </si>
  <si>
    <t>Latvijos OSKD čempionatas, 2015.08.02</t>
  </si>
  <si>
    <t>Puišytė Ieva</t>
  </si>
  <si>
    <t>Būdakalnis IOSK</t>
  </si>
  <si>
    <t>Mauricė Eglė</t>
  </si>
  <si>
    <t>Lietuvos OSKD čempionatas, 2015.09.26</t>
  </si>
  <si>
    <t>Žvirblis Laurynas</t>
  </si>
  <si>
    <t>Miliūnas Saulius</t>
  </si>
  <si>
    <t>Stankevičius Martynas</t>
  </si>
  <si>
    <t>Venelaine Margus</t>
  </si>
  <si>
    <t>LSF PT</t>
  </si>
  <si>
    <t>Lupkins Ivo</t>
  </si>
  <si>
    <t>Paukštė Mindaugas</t>
  </si>
  <si>
    <t>Kriukas Darius</t>
  </si>
  <si>
    <t>Kniukšta Romualdas</t>
  </si>
  <si>
    <t>Rudamina OK, Vilnius</t>
  </si>
  <si>
    <t>Dinda Mindaugas</t>
  </si>
  <si>
    <t>Dainava OK, Žiežmariai</t>
  </si>
  <si>
    <t>Krūminš Edgars</t>
  </si>
  <si>
    <t>Alūksne-Apie OK, Alūksne</t>
  </si>
  <si>
    <t>Zaveckas Andrius</t>
  </si>
  <si>
    <t>Rudys Audrius</t>
  </si>
  <si>
    <t>Platakis Giedrius</t>
  </si>
  <si>
    <t>Dinda Midaugas</t>
  </si>
  <si>
    <t>Stupelis rimvydas</t>
  </si>
  <si>
    <t>Gečaitė Kotryna</t>
  </si>
  <si>
    <t>Černeckytė Milda</t>
  </si>
  <si>
    <t>ind., Neringa</t>
  </si>
  <si>
    <t>Viluckytė Aurelija</t>
  </si>
  <si>
    <t>Vaiduoklis, Vilnius</t>
  </si>
  <si>
    <t>Streikus Tomas</t>
  </si>
  <si>
    <t>Arlauskas Remigijus</t>
  </si>
  <si>
    <t>Lėlius Valdas</t>
  </si>
  <si>
    <t>Plečkaitis Tomas</t>
  </si>
  <si>
    <t>Siudikas Kęstutis</t>
  </si>
  <si>
    <t>Znotinas Arūnas</t>
  </si>
  <si>
    <t>Radzivonaitė Milda</t>
  </si>
  <si>
    <t>Šilas Ok, SM Gaja, Kaunas</t>
  </si>
  <si>
    <t>Lietuvos taure Preia</t>
  </si>
  <si>
    <t>Lietuvos Taure</t>
  </si>
  <si>
    <t>22km, 18kp</t>
  </si>
  <si>
    <t>Mickevičiūtė Juodišienė Karolina</t>
  </si>
  <si>
    <t>Antaris Team, Vilnius</t>
  </si>
  <si>
    <t>Telšiai OK, Vilnius</t>
  </si>
  <si>
    <t>dsq</t>
  </si>
  <si>
    <t>j</t>
  </si>
  <si>
    <t>v</t>
  </si>
  <si>
    <t>16km, 26kp</t>
  </si>
  <si>
    <t>Žigilėjus Vėjus</t>
  </si>
  <si>
    <t>Deksnienė Salvinija</t>
  </si>
  <si>
    <t>Marozas Saulius</t>
  </si>
  <si>
    <t>Lapinskas Mantas</t>
  </si>
  <si>
    <t>Čepokas Darius</t>
  </si>
  <si>
    <t>Kilbauskas Darius</t>
  </si>
  <si>
    <t>Šiurpys OK, Zarasai</t>
  </si>
  <si>
    <t>M20</t>
  </si>
  <si>
    <t>Krūmiņa Ieva</t>
  </si>
  <si>
    <t>Purva Bridejs OK</t>
  </si>
  <si>
    <t>V40</t>
  </si>
  <si>
    <t>Kazlauskas Donatas</t>
  </si>
  <si>
    <t>Jokubauskis Kęstutis</t>
  </si>
  <si>
    <t>vv</t>
  </si>
  <si>
    <t>Neries kilpos, Vilnius</t>
  </si>
  <si>
    <t>ME</t>
  </si>
  <si>
    <t>Kazlauskas Tadas</t>
  </si>
  <si>
    <t>Šilas OK, Kaunas</t>
  </si>
  <si>
    <t>Bardiševičius Mantas</t>
  </si>
  <si>
    <t>Domarkas Gintaras</t>
  </si>
  <si>
    <t>Žemaitis Jonas</t>
  </si>
  <si>
    <t>M60</t>
  </si>
  <si>
    <t>Versmė OK, Plungė</t>
  </si>
  <si>
    <t>Jaunystė OK, Šakiai</t>
  </si>
  <si>
    <t>6,2km 13kp</t>
  </si>
  <si>
    <t>S21</t>
  </si>
  <si>
    <t>Šimkonytė Luknė</t>
  </si>
  <si>
    <t>Šimkonytė Greta</t>
  </si>
  <si>
    <t>Sutkienė Kristina</t>
  </si>
  <si>
    <t>Lukošius Nojus</t>
  </si>
  <si>
    <t>Kukauskas Mantas</t>
  </si>
  <si>
    <t>Šulčys Kasparas</t>
  </si>
  <si>
    <t xml:space="preserve">Perkūnas OK, Vilniaus m. SC, Vilnius  </t>
  </si>
  <si>
    <t>Mickus Dovydas</t>
  </si>
  <si>
    <t>BM40</t>
  </si>
  <si>
    <t>BM14</t>
  </si>
  <si>
    <t>Gervinskaitė - Deksnienė Vaida</t>
  </si>
  <si>
    <t>individualiai, Vilnius</t>
  </si>
  <si>
    <t>BW50</t>
  </si>
  <si>
    <t>BW40</t>
  </si>
  <si>
    <t>Alytaus čempionatas, 2017.04.02</t>
  </si>
  <si>
    <t>Alytaus čempionatas, 2017.04.02, Einorai</t>
  </si>
  <si>
    <t>DM</t>
  </si>
  <si>
    <t>14,2km, 20kp</t>
  </si>
  <si>
    <t>9,6km, 14kp</t>
  </si>
  <si>
    <t>DM18</t>
  </si>
  <si>
    <t>DM40</t>
  </si>
  <si>
    <t>DM50</t>
  </si>
  <si>
    <t>Makselytė Dovilė</t>
  </si>
  <si>
    <t>Javonis OK, Alytaus SRC, Alytus</t>
  </si>
  <si>
    <t>DMA</t>
  </si>
  <si>
    <t>Atkočienė Jurgita</t>
  </si>
  <si>
    <t>Vilnius</t>
  </si>
  <si>
    <t>Kauno čempionatas, 2017.04.09, Karmėlava</t>
  </si>
  <si>
    <r>
      <t>MBM</t>
    </r>
    <r>
      <rPr>
        <sz val="10"/>
        <rFont val="Arial"/>
        <family val="0"/>
      </rPr>
      <t>,</t>
    </r>
    <r>
      <rPr>
        <sz val="10"/>
        <color indexed="18"/>
        <rFont val="Arial"/>
        <family val="2"/>
      </rPr>
      <t xml:space="preserve"> MBV18, MBV40</t>
    </r>
  </si>
  <si>
    <t>15,5km, 20kp</t>
  </si>
  <si>
    <t>MBM</t>
  </si>
  <si>
    <r>
      <t>MBM40</t>
    </r>
  </si>
  <si>
    <t>12,7km,14kp</t>
  </si>
  <si>
    <t>26,5km kp</t>
  </si>
  <si>
    <t>20,1km kp</t>
  </si>
  <si>
    <t>16,4km kp</t>
  </si>
  <si>
    <t>12,3km kp</t>
  </si>
  <si>
    <t>MTBO_V21</t>
  </si>
  <si>
    <t>MTBO_V40</t>
  </si>
  <si>
    <r>
      <t xml:space="preserve">MTBO_S21, </t>
    </r>
    <r>
      <rPr>
        <sz val="10"/>
        <color indexed="56"/>
        <rFont val="Arial"/>
        <family val="2"/>
      </rPr>
      <t>MTBO_V16, MTBO_V50</t>
    </r>
  </si>
  <si>
    <r>
      <t>MTBO_S16, MTBO_S50,</t>
    </r>
    <r>
      <rPr>
        <sz val="10"/>
        <color indexed="56"/>
        <rFont val="Arial"/>
        <family val="2"/>
      </rPr>
      <t xml:space="preserve"> MTBO-OPEN</t>
    </r>
  </si>
  <si>
    <t>Kauno čempionatas, 2017.04.09</t>
  </si>
  <si>
    <t>Ziemelu kauss, 2017.04.15, Adaži</t>
  </si>
  <si>
    <t>Ziemelu kauss, 2017.04.16, Adaži</t>
  </si>
  <si>
    <t>Ziemelu kauss, 2017.04.15</t>
  </si>
  <si>
    <t>17,2km kp</t>
  </si>
  <si>
    <t>14,8km kp</t>
  </si>
  <si>
    <t>12,1km kp</t>
  </si>
  <si>
    <t>8,6km kp</t>
  </si>
  <si>
    <t>MTBO_V16, MTBO_V50</t>
  </si>
  <si>
    <r>
      <rPr>
        <sz val="10"/>
        <color indexed="60"/>
        <rFont val="Arial"/>
        <family val="2"/>
      </rPr>
      <t>MTBO_S21</t>
    </r>
    <r>
      <rPr>
        <sz val="10"/>
        <color indexed="56"/>
        <rFont val="Arial"/>
        <family val="2"/>
      </rPr>
      <t>, MTBO_V40</t>
    </r>
  </si>
  <si>
    <t>Ziemelu kauss, 2017.04.16</t>
  </si>
  <si>
    <t>Vilnius 2017, 2017.05.05, Karoliniškės, sprintas</t>
  </si>
  <si>
    <t>Vilnius 2017, 2017.05.06, Šilėnai, ilga</t>
  </si>
  <si>
    <t>Vilnius 2017, 2017.05.07, Karveliškės, masinis startas</t>
  </si>
  <si>
    <t>BM</t>
  </si>
  <si>
    <r>
      <t>BW</t>
    </r>
    <r>
      <rPr>
        <sz val="10"/>
        <rFont val="Arial"/>
        <family val="0"/>
      </rPr>
      <t>,</t>
    </r>
    <r>
      <rPr>
        <sz val="10"/>
        <color indexed="18"/>
        <rFont val="Arial"/>
        <family val="2"/>
      </rPr>
      <t xml:space="preserve"> BM20</t>
    </r>
  </si>
  <si>
    <r>
      <t xml:space="preserve">BW20, </t>
    </r>
    <r>
      <rPr>
        <sz val="10"/>
        <color indexed="18"/>
        <rFont val="Arial"/>
        <family val="2"/>
      </rPr>
      <t>BM40, BMA</t>
    </r>
  </si>
  <si>
    <t>BM17, BM50, BM60</t>
  </si>
  <si>
    <t>BW17, BW40, BW50, BW60, BWA</t>
  </si>
  <si>
    <t>5,4km 24kp</t>
  </si>
  <si>
    <t>4,3km 23kp</t>
  </si>
  <si>
    <t>3,8km 19kp</t>
  </si>
  <si>
    <t>3,4km 18kp</t>
  </si>
  <si>
    <t>3,3km 17kp</t>
  </si>
  <si>
    <t>2,4km 15kp</t>
  </si>
  <si>
    <t>21,0km 26kp</t>
  </si>
  <si>
    <t>16,4km 18kp</t>
  </si>
  <si>
    <t>15,4km 23kp</t>
  </si>
  <si>
    <t>11,8km 16kp</t>
  </si>
  <si>
    <t>8,7km 11kp</t>
  </si>
  <si>
    <t>6,2km 12kp</t>
  </si>
  <si>
    <t>13,6km 28kp</t>
  </si>
  <si>
    <t>12,0km 24kp</t>
  </si>
  <si>
    <t>10,3km 23kp</t>
  </si>
  <si>
    <t>8,6km 17kp</t>
  </si>
  <si>
    <t>4,1km 11kp</t>
  </si>
  <si>
    <r>
      <t>BW14,</t>
    </r>
    <r>
      <rPr>
        <sz val="10"/>
        <color indexed="18"/>
        <rFont val="Arial"/>
        <family val="2"/>
      </rPr>
      <t xml:space="preserve"> BM14</t>
    </r>
  </si>
  <si>
    <t>Vilnius 2017, 2017.05.05</t>
  </si>
  <si>
    <t>Vilnius 2017, 2017.05.06</t>
  </si>
  <si>
    <t>Vilnius 2017, 2017.05.07</t>
  </si>
  <si>
    <t>Barlet Gaelle</t>
  </si>
  <si>
    <t>FRA</t>
  </si>
  <si>
    <t>FFCO</t>
  </si>
  <si>
    <t>Haga Antonia</t>
  </si>
  <si>
    <t>FIN</t>
  </si>
  <si>
    <t>Team Finland</t>
  </si>
  <si>
    <t>Kubinova Veronika</t>
  </si>
  <si>
    <t>CZE</t>
  </si>
  <si>
    <t>Czech Republic</t>
  </si>
  <si>
    <t>Hara Marika</t>
  </si>
  <si>
    <t>Lindroth Mona</t>
  </si>
  <si>
    <t>Rothweiler Maja</t>
  </si>
  <si>
    <t>SUI</t>
  </si>
  <si>
    <t>Switzerland</t>
  </si>
  <si>
    <t>Stengård Ingrid</t>
  </si>
  <si>
    <t>Jäggi Ursina</t>
  </si>
  <si>
    <t>Denaix Lou</t>
  </si>
  <si>
    <t>Kralova Vilma</t>
  </si>
  <si>
    <t>Kano Naoko</t>
  </si>
  <si>
    <t>JPN</t>
  </si>
  <si>
    <t>Japan</t>
  </si>
  <si>
    <t>Søgaard Camilla</t>
  </si>
  <si>
    <t>DEN</t>
  </si>
  <si>
    <t>Denmark</t>
  </si>
  <si>
    <t>BW</t>
  </si>
  <si>
    <t>Malsroos Lauri</t>
  </si>
  <si>
    <t>SAUE TAMMED, Saue</t>
  </si>
  <si>
    <t>Fuchs Baptiste</t>
  </si>
  <si>
    <t>Dallavalle Luca</t>
  </si>
  <si>
    <t>ITA</t>
  </si>
  <si>
    <t>Italy</t>
  </si>
  <si>
    <t>Braendli Simon</t>
  </si>
  <si>
    <t>Ludvik Vojtech</t>
  </si>
  <si>
    <t>Beill Cedric</t>
  </si>
  <si>
    <t>Kaskinen Kare</t>
  </si>
  <si>
    <t>Poopuu Priit</t>
  </si>
  <si>
    <t>JOKA</t>
  </si>
  <si>
    <t>Laurila Jussi</t>
  </si>
  <si>
    <t>Steinthal Thomas</t>
  </si>
  <si>
    <t>Jaeggi Adrian</t>
  </si>
  <si>
    <t>Erm Tõnis</t>
  </si>
  <si>
    <t>TAOK, Tallinn</t>
  </si>
  <si>
    <t>Turra Piero</t>
  </si>
  <si>
    <t>Guelennoc Thibaud</t>
  </si>
  <si>
    <t>Aibast Erik</t>
  </si>
  <si>
    <t>SK Saue Tammed, Viimsi</t>
  </si>
  <si>
    <t>Nurminen Ilkka</t>
  </si>
  <si>
    <t>Ludvik Matyaš</t>
  </si>
  <si>
    <t>Karm Marek</t>
  </si>
  <si>
    <t>SK100</t>
  </si>
  <si>
    <t>Hanhijärvi Petrus</t>
  </si>
  <si>
    <t>Pinsard Nicolas</t>
  </si>
  <si>
    <t>Pinsard Florian</t>
  </si>
  <si>
    <t>MTBO team Kamvol, Minsk</t>
  </si>
  <si>
    <t>Frost Erik</t>
  </si>
  <si>
    <t>SWE</t>
  </si>
  <si>
    <t>Sweden</t>
  </si>
  <si>
    <t>Hatori Kazushige</t>
  </si>
  <si>
    <t>Alyilmaz Ferhat</t>
  </si>
  <si>
    <t>TUR</t>
  </si>
  <si>
    <t>Turkey</t>
  </si>
  <si>
    <t>Drazdauskas Laimis</t>
  </si>
  <si>
    <t>Lėvuo OK, Vilnius</t>
  </si>
  <si>
    <t>Blomster Anders</t>
  </si>
  <si>
    <t>OK Trian</t>
  </si>
  <si>
    <t>Søgaard Rasmus</t>
  </si>
  <si>
    <t>Friis Oliver</t>
  </si>
  <si>
    <t>Khasanshyn Renat</t>
  </si>
  <si>
    <t>UKR</t>
  </si>
  <si>
    <t>Ukraine</t>
  </si>
  <si>
    <t>OK Kāpa</t>
  </si>
  <si>
    <t>Vanhanen Konsta</t>
  </si>
  <si>
    <t>Kalvaitis Danius</t>
  </si>
  <si>
    <t>Būdakalnis OK, SM Gaja, Ignalina</t>
  </si>
  <si>
    <t>Pranckaitis Dovidas</t>
  </si>
  <si>
    <t>Adamkevičius Martynas</t>
  </si>
  <si>
    <t>Songinas Vytautas</t>
  </si>
  <si>
    <t>Lėvuo OK, Panevėžys</t>
  </si>
  <si>
    <t>DV</t>
  </si>
  <si>
    <r>
      <t xml:space="preserve">DM18, DM40, DM50, DMA, </t>
    </r>
    <r>
      <rPr>
        <sz val="10"/>
        <color indexed="18"/>
        <rFont val="Arial"/>
        <family val="2"/>
      </rPr>
      <t>DV16</t>
    </r>
  </si>
  <si>
    <r>
      <t>DM</t>
    </r>
    <r>
      <rPr>
        <sz val="10"/>
        <rFont val="Arial"/>
        <family val="0"/>
      </rPr>
      <t xml:space="preserve">, </t>
    </r>
    <r>
      <rPr>
        <sz val="10"/>
        <color indexed="18"/>
        <rFont val="Arial"/>
        <family val="2"/>
      </rPr>
      <t>DV40, DV50, DV18, DVA</t>
    </r>
  </si>
  <si>
    <t>DVA</t>
  </si>
  <si>
    <t>MBV</t>
  </si>
  <si>
    <r>
      <t>MTBO_S16, MTBO_S50,</t>
    </r>
    <r>
      <rPr>
        <sz val="10"/>
        <color indexed="56"/>
        <rFont val="Arial"/>
        <family val="2"/>
      </rPr>
      <t xml:space="preserve"> MTBO_OPEN</t>
    </r>
  </si>
  <si>
    <t>Trunin Aleksandr</t>
  </si>
  <si>
    <t>Baltacis Kārlis</t>
  </si>
  <si>
    <t>Viitmaa Alar</t>
  </si>
  <si>
    <t>Sarksņa Andris</t>
  </si>
  <si>
    <t>Žagars Ivars</t>
  </si>
  <si>
    <t>Lindahl Jesper</t>
  </si>
  <si>
    <t>Nieminen Juho-verneri</t>
  </si>
  <si>
    <t>Deriaz Samson</t>
  </si>
  <si>
    <t>Nurminen Eerik</t>
  </si>
  <si>
    <t>Grandadam Robin</t>
  </si>
  <si>
    <t>Macijauskas Ąžuolas</t>
  </si>
  <si>
    <t>Kaksonen Teemu</t>
  </si>
  <si>
    <t>Lilja Juha</t>
  </si>
  <si>
    <t>Tervala Miska</t>
  </si>
  <si>
    <t>Jeremi Pourre</t>
  </si>
  <si>
    <t>BM20</t>
  </si>
  <si>
    <t>BMA</t>
  </si>
  <si>
    <t>Pabrėža Ramūnas</t>
  </si>
  <si>
    <t>DV40</t>
  </si>
  <si>
    <t>DV50</t>
  </si>
  <si>
    <t>DV18</t>
  </si>
  <si>
    <t>DV16</t>
  </si>
  <si>
    <t>Šliūželis Mykolas</t>
  </si>
  <si>
    <t>Pikturna Algirdas</t>
  </si>
  <si>
    <t>MBM50</t>
  </si>
  <si>
    <t>MBM17</t>
  </si>
  <si>
    <t>MBM60</t>
  </si>
  <si>
    <t>Turčinavičius Tautvydas</t>
  </si>
  <si>
    <t>Čiupaitė Ieva</t>
  </si>
  <si>
    <t>BW14</t>
  </si>
  <si>
    <t>BW17</t>
  </si>
  <si>
    <t>BW20</t>
  </si>
  <si>
    <t>Häusermann Ursula</t>
  </si>
  <si>
    <t>Jämsén Miia</t>
  </si>
  <si>
    <t>OLG Thun</t>
  </si>
  <si>
    <t>Jämsän Retki-Veikot</t>
  </si>
  <si>
    <t>Lūkina Ilze</t>
  </si>
  <si>
    <t>Meža sports, Sigulda</t>
  </si>
  <si>
    <t>BW60</t>
  </si>
  <si>
    <t>BWA</t>
  </si>
  <si>
    <t>Krūmiņa Zane</t>
  </si>
  <si>
    <t>Pustova Nataliia</t>
  </si>
  <si>
    <t>Devillers Constance</t>
  </si>
  <si>
    <t>Sipos Mathilde</t>
  </si>
  <si>
    <t>Yli-hietanen Saara</t>
  </si>
  <si>
    <t>Nurminen Kaarina</t>
  </si>
  <si>
    <t>Nurminen Jutta</t>
  </si>
  <si>
    <t>Raichon Mia</t>
  </si>
  <si>
    <t>Kucharova Rozalie</t>
  </si>
  <si>
    <t>Voutilainen Viivi</t>
  </si>
  <si>
    <t>Garcin Lou</t>
  </si>
  <si>
    <t>Lietuvos OSKD čempionatas, 2017.05.20, Telšiai, ilga</t>
  </si>
  <si>
    <t>Lietuvos OSKD čempionatas, 2017.05.21, Telšiai, sprintas</t>
  </si>
  <si>
    <t>VE, V20</t>
  </si>
  <si>
    <t>5,9 km 28 kp</t>
  </si>
  <si>
    <t>ME, M20</t>
  </si>
  <si>
    <t>4,9 km, 26 kp</t>
  </si>
  <si>
    <t>4,9 km, 24 kp</t>
  </si>
  <si>
    <t>V18, V40</t>
  </si>
  <si>
    <t>4.4 km 22 kp</t>
  </si>
  <si>
    <t>3,9 km 20 kp</t>
  </si>
  <si>
    <t>3,4 km 18 kp</t>
  </si>
  <si>
    <r>
      <rPr>
        <sz val="10"/>
        <color indexed="60"/>
        <rFont val="Arial"/>
        <family val="2"/>
      </rPr>
      <t>M18, M40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V16, V50</t>
    </r>
  </si>
  <si>
    <r>
      <rPr>
        <sz val="10"/>
        <color indexed="60"/>
        <rFont val="Arial"/>
        <family val="2"/>
      </rPr>
      <t>M16, M50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V60</t>
    </r>
  </si>
  <si>
    <r>
      <rPr>
        <sz val="10"/>
        <color indexed="60"/>
        <rFont val="Arial"/>
        <family val="2"/>
      </rPr>
      <t>M14, M60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V14</t>
    </r>
  </si>
  <si>
    <t>16,5 km, 27 kp</t>
  </si>
  <si>
    <t>6,2 km 13 kp</t>
  </si>
  <si>
    <t>8,8 km 15 kp</t>
  </si>
  <si>
    <t>11,7 km 18 kp</t>
  </si>
  <si>
    <t>14,5 km, 22 kp</t>
  </si>
  <si>
    <r>
      <rPr>
        <sz val="10"/>
        <color indexed="60"/>
        <rFont val="Arial"/>
        <family val="2"/>
      </rPr>
      <t>M20</t>
    </r>
    <r>
      <rPr>
        <sz val="10"/>
        <color indexed="56"/>
        <rFont val="Arial"/>
        <family val="2"/>
      </rPr>
      <t>, V18, V40</t>
    </r>
  </si>
  <si>
    <r>
      <t xml:space="preserve">ME, </t>
    </r>
    <r>
      <rPr>
        <sz val="10"/>
        <color indexed="56"/>
        <rFont val="Arial"/>
        <family val="2"/>
      </rPr>
      <t>V20</t>
    </r>
  </si>
  <si>
    <t>VE</t>
  </si>
  <si>
    <t>21,37 km 32 kp</t>
  </si>
  <si>
    <t>V6</t>
  </si>
  <si>
    <t>M5</t>
  </si>
  <si>
    <t>SM Gaja/ OK Medeina, Kaunas</t>
  </si>
  <si>
    <t>Puišytė Vytenė</t>
  </si>
  <si>
    <t>Silkaukaitė Iveta</t>
  </si>
  <si>
    <t>M18</t>
  </si>
  <si>
    <t>M40</t>
  </si>
  <si>
    <t>Pilybienė Rūta</t>
  </si>
  <si>
    <t>Lietuvos OSKD čempionatas, 2017.05.20</t>
  </si>
  <si>
    <t>Lietuvos OSKD čempionatas, 2017.05.21</t>
  </si>
  <si>
    <t>Tomashevskyj Eduard</t>
  </si>
  <si>
    <t>Kopa OK, Kaliningrad</t>
  </si>
  <si>
    <t>Linde Martins</t>
  </si>
  <si>
    <t>Ozons OK, Riga</t>
  </si>
  <si>
    <t>Jonušas Dovidas</t>
  </si>
  <si>
    <t>Donėla Matas</t>
  </si>
  <si>
    <t>V20</t>
  </si>
  <si>
    <t>V14</t>
  </si>
  <si>
    <t>Puišys Tautvydas</t>
  </si>
  <si>
    <t>Naumov Artem</t>
  </si>
  <si>
    <t>west mtbo team, Kaliningrad</t>
  </si>
  <si>
    <t>V16</t>
  </si>
  <si>
    <t>V18</t>
  </si>
  <si>
    <t>Virpša Rolandas</t>
  </si>
  <si>
    <t>V50</t>
  </si>
  <si>
    <t>V60</t>
  </si>
  <si>
    <t>Latvijas MTBO daudzdienas, 2017.06.09</t>
  </si>
  <si>
    <t>Latvijas MTBO daudzdienas, 2017.06.10</t>
  </si>
  <si>
    <t>Latvijas MTBO daudzdienas, 2017.06.11</t>
  </si>
  <si>
    <t>WE</t>
  </si>
  <si>
    <t>M18, M40, M21A</t>
  </si>
  <si>
    <t>W18, W40, W21A</t>
  </si>
  <si>
    <t>M50, M21B</t>
  </si>
  <si>
    <r>
      <rPr>
        <sz val="10"/>
        <color indexed="60"/>
        <rFont val="Arial"/>
        <family val="2"/>
      </rPr>
      <t>W50, W21B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M60</t>
    </r>
  </si>
  <si>
    <r>
      <rPr>
        <sz val="10"/>
        <color indexed="60"/>
        <rFont val="Arial"/>
        <family val="2"/>
      </rPr>
      <t>W14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M14</t>
    </r>
  </si>
  <si>
    <r>
      <t xml:space="preserve">W18, W40, W21A, </t>
    </r>
    <r>
      <rPr>
        <sz val="10"/>
        <color indexed="56"/>
        <rFont val="Arial"/>
        <family val="2"/>
      </rPr>
      <t>M50, M21B</t>
    </r>
  </si>
  <si>
    <t>11,6 km 20kp</t>
  </si>
  <si>
    <t>10,1 km 16 kp</t>
  </si>
  <si>
    <t>9,2 km 14 kp</t>
  </si>
  <si>
    <t>6,9 km 12 kp</t>
  </si>
  <si>
    <t>7,1 km 11 kp</t>
  </si>
  <si>
    <t>5,1 km 9 kp</t>
  </si>
  <si>
    <t>4,1,km 7 kp</t>
  </si>
  <si>
    <t>21,3 km24 kp</t>
  </si>
  <si>
    <t>16,3 km 20 kp</t>
  </si>
  <si>
    <t>15,5 km 19 kp</t>
  </si>
  <si>
    <t>11,8 km 16 kp</t>
  </si>
  <si>
    <t>7,1 km 9 kp</t>
  </si>
  <si>
    <t>4,2 km 6 kp</t>
  </si>
  <si>
    <t>7,2 km 20 kp</t>
  </si>
  <si>
    <t>6,5 km 17 kp</t>
  </si>
  <si>
    <t>5,4 km 14 kp</t>
  </si>
  <si>
    <t>5,0 km 14 kp</t>
  </si>
  <si>
    <t>3,9 km 12 kp</t>
  </si>
  <si>
    <t>3,0 km 7 kp</t>
  </si>
  <si>
    <t>Latvijas MTBO daudzdienas, Ryga, sprintas, 2017.06.09</t>
  </si>
  <si>
    <t>Latvijas MTBO daudzdienas, Garkalne,  vidutinė, 2017.06.10</t>
  </si>
  <si>
    <t>Latvijas MTBO daudzdienas, Zakumuiža,           masinis startas, 2017.06.11</t>
  </si>
  <si>
    <t>mp</t>
  </si>
  <si>
    <t>W18</t>
  </si>
  <si>
    <t>W21A</t>
  </si>
  <si>
    <t>W40</t>
  </si>
  <si>
    <t>W50</t>
  </si>
  <si>
    <t>Takas, Šiauliai, vidutinė 2017.06.22</t>
  </si>
  <si>
    <t>Takas, Šiauliai, sprintas 2017.06.23</t>
  </si>
  <si>
    <t>Takas, Šiauliai, ilga 2017.06.24</t>
  </si>
  <si>
    <t>Takas, Šiauliai, vidutinė, handikapas 2017.06.25</t>
  </si>
  <si>
    <t>Estijos OSKD čempionatas, vidutinė Jolumae, 2017.07.15</t>
  </si>
  <si>
    <t>Estijos OSKD čempionatas, ilga Jolumae, 2017.07.16</t>
  </si>
  <si>
    <t>15,4 km 15 kp</t>
  </si>
  <si>
    <t>12,2 km 13 kp</t>
  </si>
  <si>
    <t>11,6 km 13 kp</t>
  </si>
  <si>
    <t>9,7 km 10 kp</t>
  </si>
  <si>
    <t>MB-HE</t>
  </si>
  <si>
    <t>MBH17, MBH40, MBH50</t>
  </si>
  <si>
    <t>MB-DA, MBD17, MBD40</t>
  </si>
  <si>
    <t>5,6 km 24 kp</t>
  </si>
  <si>
    <t>5,0 km 23 kp</t>
  </si>
  <si>
    <t>5,0 km 22 kp</t>
  </si>
  <si>
    <t>4,2 km 20 kp</t>
  </si>
  <si>
    <t>27.1 km 24 kp</t>
  </si>
  <si>
    <t>23,1 km 19 kp</t>
  </si>
  <si>
    <t>17,3 km 16 kp</t>
  </si>
  <si>
    <t>15,6 km 15kp</t>
  </si>
  <si>
    <t>17,1 km17 kp</t>
  </si>
  <si>
    <t>13,2 km 13 kp</t>
  </si>
  <si>
    <t>12,2 km 12 kp</t>
  </si>
  <si>
    <t>10,6 km 10kp</t>
  </si>
  <si>
    <t>13 km 29 kp</t>
  </si>
  <si>
    <t>10,6 km 23 kp</t>
  </si>
  <si>
    <t>10 km 22 kp</t>
  </si>
  <si>
    <t>8,4 km 20 kp</t>
  </si>
  <si>
    <t>7 km 18 kp</t>
  </si>
  <si>
    <t>6,3 km 15 kp</t>
  </si>
  <si>
    <t>26 km 37 kp</t>
  </si>
  <si>
    <t>18,4 km 28 kp</t>
  </si>
  <si>
    <t>17,8 km 28 kp</t>
  </si>
  <si>
    <t>14,9 km 20 kp</t>
  </si>
  <si>
    <t>11 km 15 kp</t>
  </si>
  <si>
    <t>9,4 km 15 kp</t>
  </si>
  <si>
    <r>
      <t xml:space="preserve">M20, </t>
    </r>
    <r>
      <rPr>
        <sz val="10"/>
        <color indexed="60"/>
        <rFont val="Arial"/>
        <family val="2"/>
      </rPr>
      <t>W21</t>
    </r>
  </si>
  <si>
    <r>
      <t xml:space="preserve">M17, M50, </t>
    </r>
    <r>
      <rPr>
        <sz val="10"/>
        <color indexed="60"/>
        <rFont val="Arial"/>
        <family val="2"/>
      </rPr>
      <t>W20</t>
    </r>
  </si>
  <si>
    <r>
      <t xml:space="preserve">M60, </t>
    </r>
    <r>
      <rPr>
        <sz val="10"/>
        <color indexed="60"/>
        <rFont val="Arial"/>
        <family val="2"/>
      </rPr>
      <t>W17, W40</t>
    </r>
  </si>
  <si>
    <t>Takas, Šiauliai, 2017.06.22</t>
  </si>
  <si>
    <t>Takas, Šiauliai, 2017.06.23</t>
  </si>
  <si>
    <t>Takas, Šiauliai, 2017.06.24</t>
  </si>
  <si>
    <t>Takas, Šiauliai, 2017.06.25</t>
  </si>
  <si>
    <t>Estijos OSKD čempionatas, Jolumae, 2017.07.15</t>
  </si>
  <si>
    <t>Estijos OSKD čempionatas, Jolumae, 2017.07.16</t>
  </si>
  <si>
    <r>
      <rPr>
        <sz val="10"/>
        <color indexed="60"/>
        <rFont val="Arial"/>
        <family val="2"/>
      </rPr>
      <t>MB-DE</t>
    </r>
    <r>
      <rPr>
        <sz val="10"/>
        <rFont val="Arial"/>
        <family val="2"/>
      </rPr>
      <t xml:space="preserve">, </t>
    </r>
    <r>
      <rPr>
        <sz val="10"/>
        <color indexed="62"/>
        <rFont val="Arial"/>
        <family val="2"/>
      </rPr>
      <t>MB-HA</t>
    </r>
  </si>
  <si>
    <t>M21A</t>
  </si>
  <si>
    <t>M17</t>
  </si>
  <si>
    <t>MBH17</t>
  </si>
  <si>
    <t>ot</t>
  </si>
  <si>
    <t>MBH40</t>
  </si>
  <si>
    <t>MB-HA</t>
  </si>
  <si>
    <t>MBH50</t>
  </si>
  <si>
    <t>Vaitkus Tomas</t>
  </si>
  <si>
    <t>Galinauskas Artūras</t>
  </si>
  <si>
    <t>Glazauskas Ramūnas</t>
  </si>
  <si>
    <t>Zdeblovskii Aleksei</t>
  </si>
  <si>
    <t>Šumskas Gytis</t>
  </si>
  <si>
    <t>Cibas Augmantas Žygūnas</t>
  </si>
  <si>
    <t>Pranckaitis Simonas</t>
  </si>
  <si>
    <t>12-os geriausių suma</t>
  </si>
  <si>
    <t>MBD17</t>
  </si>
  <si>
    <t>MBD40</t>
  </si>
  <si>
    <t>MB-DA</t>
  </si>
  <si>
    <t>W17</t>
  </si>
  <si>
    <t>W21</t>
  </si>
  <si>
    <t>Zdeblovskaia Viktoriia</t>
  </si>
  <si>
    <t>Domarkaitė Giedrė</t>
  </si>
  <si>
    <t>MB-DE</t>
  </si>
  <si>
    <t>Matvijenko Jūlija</t>
  </si>
  <si>
    <t>Pavļukova Ļubova</t>
  </si>
  <si>
    <t>W20</t>
  </si>
  <si>
    <t xml:space="preserve">Latvija </t>
  </si>
  <si>
    <t>neįvyko</t>
  </si>
  <si>
    <t>Lietuvos OSKD čempionatas, vidutinė, Kleboniškis, 2017.09.09</t>
  </si>
  <si>
    <t>11,3 km 23 kp</t>
  </si>
  <si>
    <t>10 km 15 kp</t>
  </si>
  <si>
    <t>6,3 km 13kp</t>
  </si>
  <si>
    <t>5,3 km 12 kp</t>
  </si>
  <si>
    <t>4,9 km 11 kp</t>
  </si>
  <si>
    <t>V21, V20</t>
  </si>
  <si>
    <t>M16, M60</t>
  </si>
  <si>
    <r>
      <rPr>
        <sz val="10"/>
        <color indexed="60"/>
        <rFont val="Arial"/>
        <family val="2"/>
      </rPr>
      <t>M20, M21</t>
    </r>
    <r>
      <rPr>
        <sz val="10"/>
        <rFont val="Arial"/>
        <family val="2"/>
      </rPr>
      <t>,</t>
    </r>
    <r>
      <rPr>
        <sz val="10"/>
        <color indexed="62"/>
        <rFont val="Arial"/>
        <family val="2"/>
      </rPr>
      <t xml:space="preserve"> V18, V40, V50</t>
    </r>
  </si>
  <si>
    <r>
      <rPr>
        <sz val="10"/>
        <color indexed="60"/>
        <rFont val="Arial"/>
        <family val="2"/>
      </rPr>
      <t>M18, M40, M50,</t>
    </r>
    <r>
      <rPr>
        <sz val="10"/>
        <rFont val="Arial"/>
        <family val="2"/>
      </rPr>
      <t xml:space="preserve"> </t>
    </r>
    <r>
      <rPr>
        <sz val="10"/>
        <color indexed="62"/>
        <rFont val="Arial"/>
        <family val="2"/>
      </rPr>
      <t>V16, V60</t>
    </r>
  </si>
  <si>
    <r>
      <rPr>
        <sz val="10"/>
        <color indexed="60"/>
        <rFont val="Arial"/>
        <family val="2"/>
      </rPr>
      <t>M14</t>
    </r>
    <r>
      <rPr>
        <sz val="10"/>
        <rFont val="Arial"/>
        <family val="2"/>
      </rPr>
      <t xml:space="preserve">, </t>
    </r>
    <r>
      <rPr>
        <sz val="10"/>
        <color indexed="62"/>
        <rFont val="Arial"/>
        <family val="2"/>
      </rPr>
      <t>V14</t>
    </r>
  </si>
  <si>
    <t>Ambrazaitė Vesta</t>
  </si>
  <si>
    <t>Šilas OK, SM Gaja, Kaunas</t>
  </si>
  <si>
    <t>O! Klaipėda, Klaipėda</t>
  </si>
  <si>
    <t>Lukošiūtė Gerda</t>
  </si>
  <si>
    <t>M16</t>
  </si>
  <si>
    <t>Kondrateva Aleksandra</t>
  </si>
  <si>
    <t>Stankevičienė Aušra</t>
  </si>
  <si>
    <t>Žvinytė Inga</t>
  </si>
  <si>
    <t>OK Klajūnas, Vilnius</t>
  </si>
  <si>
    <t>Perkūnas OK, Vilniaus m.</t>
  </si>
  <si>
    <t>Purva Bridējs ok, Garkalne</t>
  </si>
  <si>
    <t>OK Versmė, Plungė</t>
  </si>
  <si>
    <t>OK Stiga/BJC Jaunība, Daugavpils</t>
  </si>
  <si>
    <t>marathoncup.ru</t>
  </si>
  <si>
    <t>Lietuvos OSKD čempionatas, 2017.09.09</t>
  </si>
  <si>
    <t>Latvijos OSKD čempionatas, 2017.09.16</t>
  </si>
  <si>
    <t>Latvijos OSKD čempionatas, 2017.09.17</t>
  </si>
  <si>
    <t>Latvijos OSKD čempionatas, sprintas, Daugpilis, 2017.09.16</t>
  </si>
  <si>
    <r>
      <rPr>
        <sz val="10"/>
        <color indexed="60"/>
        <rFont val="Arial"/>
        <family val="2"/>
      </rPr>
      <t>W16, W18, W40,</t>
    </r>
    <r>
      <rPr>
        <sz val="10"/>
        <rFont val="Arial"/>
        <family val="2"/>
      </rPr>
      <t xml:space="preserve"> </t>
    </r>
    <r>
      <rPr>
        <sz val="10"/>
        <color indexed="62"/>
        <rFont val="Arial"/>
        <family val="2"/>
      </rPr>
      <t>M16, M50</t>
    </r>
  </si>
  <si>
    <r>
      <rPr>
        <sz val="10"/>
        <color indexed="60"/>
        <rFont val="Arial"/>
        <family val="2"/>
      </rPr>
      <t>W50</t>
    </r>
    <r>
      <rPr>
        <sz val="10"/>
        <rFont val="Arial"/>
        <family val="2"/>
      </rPr>
      <t>, OPEN</t>
    </r>
  </si>
  <si>
    <t>Latvijos OSKD čempionatas, ilga, Daugpilis, 2017.09.17</t>
  </si>
  <si>
    <t>32 km 24 kp</t>
  </si>
  <si>
    <r>
      <rPr>
        <sz val="10"/>
        <color indexed="60"/>
        <rFont val="Arial"/>
        <family val="2"/>
      </rPr>
      <t>W21</t>
    </r>
    <r>
      <rPr>
        <sz val="10"/>
        <rFont val="Arial"/>
        <family val="2"/>
      </rPr>
      <t>,</t>
    </r>
    <r>
      <rPr>
        <sz val="10"/>
        <color indexed="62"/>
        <rFont val="Arial"/>
        <family val="2"/>
      </rPr>
      <t xml:space="preserve"> M18, M40</t>
    </r>
  </si>
  <si>
    <t>Vymeris Marius</t>
  </si>
  <si>
    <t>Dainava OK, Alytaus SRC, Alytus</t>
  </si>
  <si>
    <t>Šulčys Nerijus</t>
  </si>
  <si>
    <t>Arlauskas Rimvydas</t>
  </si>
  <si>
    <t>Kisielius Vytautas</t>
  </si>
  <si>
    <t>Valatka Paulius</t>
  </si>
  <si>
    <t>Zubkus Andrius</t>
  </si>
  <si>
    <t>Vaičius Aurelijus</t>
  </si>
  <si>
    <t>Gedminas Teodoras</t>
  </si>
  <si>
    <t>Shramkov Stepan</t>
  </si>
  <si>
    <t>Alytaus SRC, Alytus</t>
  </si>
  <si>
    <t>Šinkūnas Gvidas</t>
  </si>
  <si>
    <t>Sausaitis Arnas</t>
  </si>
  <si>
    <t>O! Klaipėda, Palanga</t>
  </si>
  <si>
    <t>Zaliauskas Povilas</t>
  </si>
  <si>
    <t>Bogužinskas Tomas</t>
  </si>
  <si>
    <t>Takas OK, Vilnius</t>
  </si>
  <si>
    <t>Čaplikas Laimonas</t>
  </si>
  <si>
    <t>Sausaitis Mindaugas</t>
  </si>
  <si>
    <t>Deksnys Dominykas</t>
  </si>
  <si>
    <t>Mockus Pranas</t>
  </si>
  <si>
    <t>Tamulionis Vytautas</t>
  </si>
  <si>
    <t>Javonis OK, Marijampolė</t>
  </si>
  <si>
    <t>Sysas Algirdas</t>
  </si>
  <si>
    <t>Ūsas Gintautas</t>
  </si>
  <si>
    <t>Lietuvos OSKD  čempionatas, 2017.09.09</t>
  </si>
  <si>
    <t>Latvijos OSKD  čempionatas, 2017.09.16</t>
  </si>
  <si>
    <t>14,7 km 12 kp</t>
  </si>
  <si>
    <t>15,5 km 15 kp</t>
  </si>
  <si>
    <t>12 km 13kp</t>
  </si>
  <si>
    <t>2,9 km 12 kp</t>
  </si>
  <si>
    <t>5,3 km 13 kp</t>
  </si>
  <si>
    <r>
      <rPr>
        <sz val="10"/>
        <color indexed="60"/>
        <rFont val="Arial"/>
        <family val="2"/>
      </rPr>
      <t>W16, W18, W40, W50,</t>
    </r>
    <r>
      <rPr>
        <sz val="10"/>
        <rFont val="Arial"/>
        <family val="2"/>
      </rPr>
      <t xml:space="preserve"> </t>
    </r>
    <r>
      <rPr>
        <sz val="10"/>
        <color indexed="62"/>
        <rFont val="Arial"/>
        <family val="2"/>
      </rPr>
      <t xml:space="preserve">M16, M50, </t>
    </r>
    <r>
      <rPr>
        <sz val="10"/>
        <rFont val="Arial"/>
        <family val="2"/>
      </rPr>
      <t>OPEN</t>
    </r>
  </si>
  <si>
    <t>Latvijos OSKD  čempionatas, 2017.09.17</t>
  </si>
  <si>
    <t>W16</t>
  </si>
  <si>
    <t>Klaipėdos taurė, vidutinė, 2017.10.07</t>
  </si>
  <si>
    <t>Čiapas Agnius</t>
  </si>
  <si>
    <t>Arboro OK, Klaipėda</t>
  </si>
  <si>
    <t>Kasiulevičius Rimvydas</t>
  </si>
  <si>
    <t>Klaipėdos taurė, sprintas, 2017.10.08</t>
  </si>
  <si>
    <t>D-V21</t>
  </si>
  <si>
    <t>8.9 km 25 KP</t>
  </si>
  <si>
    <t>4.9 km 23 KP</t>
  </si>
  <si>
    <t>7.8 km 21 KP</t>
  </si>
  <si>
    <t>4.2 km 17 KP</t>
  </si>
  <si>
    <t>D-M50</t>
  </si>
  <si>
    <t>D-V14</t>
  </si>
  <si>
    <t>6.2 km 17 KP</t>
  </si>
  <si>
    <t>4.2 km 13 KP</t>
  </si>
  <si>
    <t>3.3 km 16 KP</t>
  </si>
  <si>
    <t>2.2 km 10 KP</t>
  </si>
  <si>
    <r>
      <rPr>
        <sz val="10"/>
        <color indexed="60"/>
        <rFont val="Arial"/>
        <family val="2"/>
      </rPr>
      <t>D-M21</t>
    </r>
    <r>
      <rPr>
        <sz val="10"/>
        <rFont val="Arial"/>
        <family val="2"/>
      </rPr>
      <t>,</t>
    </r>
    <r>
      <rPr>
        <sz val="10"/>
        <color indexed="56"/>
        <rFont val="Arial"/>
        <family val="2"/>
      </rPr>
      <t xml:space="preserve"> D-V18, D-V40, D-V50</t>
    </r>
  </si>
  <si>
    <t>Klaipėdos taurė, 2017.10.07</t>
  </si>
  <si>
    <t>Klaipėdos taurė, 2017.10.08</t>
  </si>
  <si>
    <t>D-M21</t>
  </si>
  <si>
    <t>D-V40</t>
  </si>
  <si>
    <t>D-V50</t>
  </si>
  <si>
    <t>D-V18</t>
  </si>
  <si>
    <t>Korolev Artur</t>
  </si>
  <si>
    <t>Khalabuzar Vadim</t>
  </si>
  <si>
    <t>Lietuvos taurė, 2017.10.14</t>
  </si>
  <si>
    <t>Lietuvos taurė, 2017.10.15</t>
  </si>
  <si>
    <t>BW16, BW40, BW50</t>
  </si>
  <si>
    <t xml:space="preserve"> 18.1 km 27 KP</t>
  </si>
  <si>
    <t xml:space="preserve"> 13.9 km 21 KP</t>
  </si>
  <si>
    <t xml:space="preserve"> 7.1 km 13 KP</t>
  </si>
  <si>
    <t xml:space="preserve"> 5.3 km 11 KP</t>
  </si>
  <si>
    <t xml:space="preserve"> 10.9 km 25 KP</t>
  </si>
  <si>
    <t xml:space="preserve"> 8.5 km 22 KP</t>
  </si>
  <si>
    <t xml:space="preserve"> 6.7 km 16 KP</t>
  </si>
  <si>
    <t xml:space="preserve"> 4.6 km 14 KP</t>
  </si>
  <si>
    <t>Sušinskaitė Jogvilė</t>
  </si>
  <si>
    <t>BM16</t>
  </si>
  <si>
    <t>BM50</t>
  </si>
  <si>
    <r>
      <rPr>
        <sz val="10"/>
        <color indexed="56"/>
        <rFont val="Arial"/>
        <family val="2"/>
      </rPr>
      <t>BM16, BM40, BM50</t>
    </r>
    <r>
      <rPr>
        <sz val="10"/>
        <rFont val="Arial"/>
        <family val="2"/>
      </rPr>
      <t>,</t>
    </r>
    <r>
      <rPr>
        <sz val="10"/>
        <color indexed="60"/>
        <rFont val="Arial"/>
        <family val="2"/>
      </rPr>
      <t xml:space="preserve"> BW</t>
    </r>
  </si>
  <si>
    <r>
      <rPr>
        <sz val="10"/>
        <color indexed="56"/>
        <rFont val="Arial"/>
        <family val="2"/>
      </rPr>
      <t>BM14</t>
    </r>
    <r>
      <rPr>
        <sz val="10"/>
        <rFont val="Arial"/>
        <family val="2"/>
      </rPr>
      <t xml:space="preserve">, </t>
    </r>
    <r>
      <rPr>
        <sz val="10"/>
        <color indexed="60"/>
        <rFont val="Arial"/>
        <family val="2"/>
      </rPr>
      <t>BW14</t>
    </r>
  </si>
  <si>
    <t>BW16</t>
  </si>
  <si>
    <t>Fortūna OK, Vilniaus m. SC, Vilnius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</si>
</sst>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hh]:mm:ss"/>
    <numFmt numFmtId="179" formatCode="[$-F400]h:mm:ss\ AM/PM"/>
    <numFmt numFmtId="180" formatCode="[$-427]yyyy\ &quot;m&quot;\.\ mmmm\ d\ &quot;d&quot;\.\,\ dddd"/>
    <numFmt numFmtId="181" formatCode="hh:mm:ss;@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6"/>
      <color indexed="6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i/>
      <sz val="9"/>
      <color indexed="22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9"/>
      <color indexed="56"/>
      <name val="Arial"/>
      <family val="2"/>
    </font>
    <font>
      <sz val="9"/>
      <color indexed="9"/>
      <name val="Arial"/>
      <family val="2"/>
    </font>
    <font>
      <b/>
      <sz val="9"/>
      <color indexed="56"/>
      <name val="Arial"/>
      <family val="2"/>
    </font>
    <font>
      <b/>
      <i/>
      <sz val="9"/>
      <color indexed="56"/>
      <name val="Arial"/>
      <family val="2"/>
    </font>
    <font>
      <b/>
      <i/>
      <sz val="18"/>
      <color indexed="5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8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b/>
      <i/>
      <sz val="9"/>
      <color indexed="62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rgb="FF002060"/>
      <name val="Arial"/>
      <family val="2"/>
    </font>
    <font>
      <sz val="9"/>
      <color theme="4" tint="-0.4999699890613556"/>
      <name val="Arial"/>
      <family val="2"/>
    </font>
    <font>
      <sz val="9"/>
      <color theme="0"/>
      <name val="Arial"/>
      <family val="2"/>
    </font>
    <font>
      <b/>
      <i/>
      <sz val="18"/>
      <color rgb="FF002060"/>
      <name val="Arial"/>
      <family val="2"/>
    </font>
    <font>
      <b/>
      <sz val="9"/>
      <color rgb="FF002060"/>
      <name val="Arial"/>
      <family val="2"/>
    </font>
    <font>
      <b/>
      <i/>
      <sz val="9"/>
      <color rgb="FF002060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/>
    </xf>
    <xf numFmtId="21" fontId="0" fillId="0" borderId="15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21" fontId="0" fillId="0" borderId="22" xfId="0" applyNumberFormat="1" applyBorder="1" applyAlignment="1">
      <alignment/>
    </xf>
    <xf numFmtId="0" fontId="8" fillId="0" borderId="1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21" fontId="0" fillId="0" borderId="24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21" fontId="0" fillId="0" borderId="14" xfId="0" applyNumberFormat="1" applyBorder="1" applyAlignment="1">
      <alignment horizontal="right"/>
    </xf>
    <xf numFmtId="21" fontId="0" fillId="0" borderId="27" xfId="0" applyNumberFormat="1" applyBorder="1" applyAlignment="1">
      <alignment horizontal="right"/>
    </xf>
    <xf numFmtId="0" fontId="9" fillId="0" borderId="28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21" fontId="0" fillId="0" borderId="27" xfId="0" applyNumberFormat="1" applyBorder="1" applyAlignment="1">
      <alignment/>
    </xf>
    <xf numFmtId="0" fontId="5" fillId="0" borderId="29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31" xfId="0" applyBorder="1" applyAlignment="1">
      <alignment textRotation="90" wrapText="1"/>
    </xf>
    <xf numFmtId="0" fontId="0" fillId="0" borderId="32" xfId="0" applyBorder="1" applyAlignment="1">
      <alignment textRotation="90" wrapText="1"/>
    </xf>
    <xf numFmtId="1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" fontId="13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 textRotation="90"/>
    </xf>
    <xf numFmtId="0" fontId="0" fillId="0" borderId="32" xfId="0" applyFont="1" applyBorder="1" applyAlignment="1">
      <alignment textRotation="90" wrapText="1"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6" fillId="0" borderId="25" xfId="0" applyFont="1" applyBorder="1" applyAlignment="1">
      <alignment/>
    </xf>
    <xf numFmtId="1" fontId="13" fillId="0" borderId="25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25" xfId="0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2" fillId="0" borderId="25" xfId="0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30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5" fillId="0" borderId="21" xfId="0" applyFont="1" applyBorder="1" applyAlignment="1">
      <alignment/>
    </xf>
    <xf numFmtId="0" fontId="0" fillId="35" borderId="14" xfId="0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Fill="1" applyBorder="1" applyAlignment="1">
      <alignment textRotation="90"/>
    </xf>
    <xf numFmtId="0" fontId="13" fillId="0" borderId="0" xfId="0" applyFont="1" applyAlignment="1">
      <alignment/>
    </xf>
    <xf numFmtId="1" fontId="0" fillId="0" borderId="25" xfId="0" applyNumberFormat="1" applyFont="1" applyBorder="1" applyAlignment="1">
      <alignment/>
    </xf>
    <xf numFmtId="1" fontId="0" fillId="38" borderId="15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" fontId="0" fillId="38" borderId="15" xfId="0" applyNumberFormat="1" applyFill="1" applyBorder="1" applyAlignment="1">
      <alignment/>
    </xf>
    <xf numFmtId="1" fontId="13" fillId="38" borderId="15" xfId="0" applyNumberFormat="1" applyFon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6" fillId="39" borderId="15" xfId="0" applyNumberFormat="1" applyFont="1" applyFill="1" applyBorder="1" applyAlignment="1">
      <alignment/>
    </xf>
    <xf numFmtId="0" fontId="14" fillId="0" borderId="25" xfId="0" applyFont="1" applyFill="1" applyBorder="1" applyAlignment="1">
      <alignment textRotation="90" wrapText="1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21" fontId="0" fillId="0" borderId="15" xfId="0" applyNumberFormat="1" applyBorder="1" applyAlignment="1">
      <alignment horizontal="right"/>
    </xf>
    <xf numFmtId="21" fontId="0" fillId="0" borderId="22" xfId="0" applyNumberFormat="1" applyFill="1" applyBorder="1" applyAlignment="1">
      <alignment horizontal="right"/>
    </xf>
    <xf numFmtId="21" fontId="0" fillId="0" borderId="22" xfId="0" applyNumberFormat="1" applyBorder="1" applyAlignment="1">
      <alignment horizontal="right"/>
    </xf>
    <xf numFmtId="21" fontId="0" fillId="0" borderId="2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72" fillId="0" borderId="23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21" fontId="0" fillId="0" borderId="2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21" fontId="0" fillId="0" borderId="1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 horizontal="center"/>
    </xf>
    <xf numFmtId="21" fontId="0" fillId="0" borderId="22" xfId="0" applyNumberFormat="1" applyFont="1" applyBorder="1" applyAlignment="1">
      <alignment/>
    </xf>
    <xf numFmtId="21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21" fontId="0" fillId="0" borderId="27" xfId="0" applyNumberFormat="1" applyFont="1" applyBorder="1" applyAlignment="1">
      <alignment/>
    </xf>
    <xf numFmtId="0" fontId="73" fillId="0" borderId="23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4" fillId="0" borderId="2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2" fillId="0" borderId="0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21" fontId="0" fillId="0" borderId="14" xfId="0" applyNumberFormat="1" applyFont="1" applyBorder="1" applyAlignment="1">
      <alignment horizontal="right"/>
    </xf>
    <xf numFmtId="0" fontId="0" fillId="0" borderId="23" xfId="0" applyFont="1" applyFill="1" applyBorder="1" applyAlignment="1">
      <alignment wrapText="1"/>
    </xf>
    <xf numFmtId="0" fontId="74" fillId="0" borderId="28" xfId="0" applyFont="1" applyBorder="1" applyAlignment="1">
      <alignment wrapText="1"/>
    </xf>
    <xf numFmtId="0" fontId="75" fillId="0" borderId="23" xfId="0" applyFont="1" applyFill="1" applyBorder="1" applyAlignment="1">
      <alignment wrapText="1"/>
    </xf>
    <xf numFmtId="0" fontId="75" fillId="0" borderId="23" xfId="0" applyFont="1" applyBorder="1" applyAlignment="1">
      <alignment wrapText="1"/>
    </xf>
    <xf numFmtId="21" fontId="0" fillId="0" borderId="24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74" fillId="0" borderId="35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21" fontId="0" fillId="0" borderId="27" xfId="0" applyNumberFormat="1" applyFont="1" applyBorder="1" applyAlignment="1">
      <alignment/>
    </xf>
    <xf numFmtId="21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1" fontId="0" fillId="0" borderId="24" xfId="0" applyNumberFormat="1" applyFon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5" xfId="0" applyNumberFormat="1" applyFont="1" applyBorder="1" applyAlignment="1">
      <alignment/>
    </xf>
    <xf numFmtId="0" fontId="75" fillId="0" borderId="3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72" fillId="0" borderId="0" xfId="0" applyFont="1" applyAlignment="1">
      <alignment/>
    </xf>
    <xf numFmtId="0" fontId="72" fillId="0" borderId="28" xfId="0" applyFont="1" applyBorder="1" applyAlignment="1">
      <alignment wrapText="1"/>
    </xf>
    <xf numFmtId="0" fontId="74" fillId="0" borderId="0" xfId="0" applyFont="1" applyAlignment="1">
      <alignment/>
    </xf>
    <xf numFmtId="21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37" xfId="0" applyFont="1" applyBorder="1" applyAlignment="1">
      <alignment horizontal="right"/>
    </xf>
    <xf numFmtId="21" fontId="77" fillId="0" borderId="37" xfId="0" applyNumberFormat="1" applyFont="1" applyBorder="1" applyAlignment="1">
      <alignment/>
    </xf>
    <xf numFmtId="0" fontId="77" fillId="0" borderId="16" xfId="0" applyFont="1" applyBorder="1" applyAlignment="1">
      <alignment/>
    </xf>
    <xf numFmtId="21" fontId="77" fillId="0" borderId="37" xfId="0" applyNumberFormat="1" applyFont="1" applyBorder="1" applyAlignment="1">
      <alignment horizontal="right"/>
    </xf>
    <xf numFmtId="0" fontId="78" fillId="0" borderId="37" xfId="0" applyFont="1" applyBorder="1" applyAlignment="1">
      <alignment horizontal="right"/>
    </xf>
    <xf numFmtId="21" fontId="78" fillId="0" borderId="37" xfId="0" applyNumberFormat="1" applyFont="1" applyBorder="1" applyAlignment="1">
      <alignment horizontal="right"/>
    </xf>
    <xf numFmtId="0" fontId="78" fillId="0" borderId="16" xfId="0" applyFont="1" applyBorder="1" applyAlignment="1">
      <alignment/>
    </xf>
    <xf numFmtId="0" fontId="77" fillId="0" borderId="0" xfId="0" applyFont="1" applyBorder="1" applyAlignment="1">
      <alignment horizontal="right"/>
    </xf>
    <xf numFmtId="21" fontId="77" fillId="0" borderId="0" xfId="0" applyNumberFormat="1" applyFont="1" applyBorder="1" applyAlignment="1">
      <alignment/>
    </xf>
    <xf numFmtId="0" fontId="77" fillId="0" borderId="15" xfId="0" applyFont="1" applyBorder="1" applyAlignment="1">
      <alignment/>
    </xf>
    <xf numFmtId="21" fontId="77" fillId="0" borderId="0" xfId="0" applyNumberFormat="1" applyFont="1" applyBorder="1" applyAlignment="1">
      <alignment horizontal="right"/>
    </xf>
    <xf numFmtId="1" fontId="77" fillId="0" borderId="15" xfId="0" applyNumberFormat="1" applyFont="1" applyBorder="1" applyAlignment="1">
      <alignment/>
    </xf>
    <xf numFmtId="0" fontId="78" fillId="0" borderId="0" xfId="0" applyFont="1" applyBorder="1" applyAlignment="1">
      <alignment horizontal="right"/>
    </xf>
    <xf numFmtId="21" fontId="78" fillId="0" borderId="0" xfId="0" applyNumberFormat="1" applyFont="1" applyBorder="1" applyAlignment="1">
      <alignment horizontal="right"/>
    </xf>
    <xf numFmtId="0" fontId="7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31" xfId="0" applyFont="1" applyBorder="1" applyAlignment="1">
      <alignment horizontal="right"/>
    </xf>
    <xf numFmtId="0" fontId="77" fillId="0" borderId="17" xfId="0" applyFont="1" applyBorder="1" applyAlignment="1">
      <alignment/>
    </xf>
    <xf numFmtId="21" fontId="77" fillId="0" borderId="31" xfId="0" applyNumberFormat="1" applyFont="1" applyBorder="1" applyAlignment="1">
      <alignment horizontal="right"/>
    </xf>
    <xf numFmtId="0" fontId="78" fillId="0" borderId="31" xfId="0" applyFont="1" applyBorder="1" applyAlignment="1">
      <alignment horizontal="right"/>
    </xf>
    <xf numFmtId="21" fontId="78" fillId="0" borderId="31" xfId="0" applyNumberFormat="1" applyFont="1" applyBorder="1" applyAlignment="1">
      <alignment horizontal="right"/>
    </xf>
    <xf numFmtId="0" fontId="78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21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79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0" fontId="21" fillId="0" borderId="0" xfId="0" applyFont="1" applyAlignment="1">
      <alignment horizontal="left"/>
    </xf>
    <xf numFmtId="21" fontId="19" fillId="0" borderId="0" xfId="0" applyNumberFormat="1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right"/>
    </xf>
    <xf numFmtId="1" fontId="19" fillId="0" borderId="15" xfId="0" applyNumberFormat="1" applyFont="1" applyBorder="1" applyAlignment="1">
      <alignment/>
    </xf>
    <xf numFmtId="0" fontId="21" fillId="0" borderId="0" xfId="0" applyFont="1" applyAlignment="1">
      <alignment horizontal="right"/>
    </xf>
    <xf numFmtId="1" fontId="6" fillId="0" borderId="15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1" fontId="0" fillId="0" borderId="15" xfId="0" applyNumberFormat="1" applyFont="1" applyFill="1" applyBorder="1" applyAlignment="1">
      <alignment/>
    </xf>
    <xf numFmtId="1" fontId="21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right"/>
    </xf>
    <xf numFmtId="1" fontId="79" fillId="0" borderId="15" xfId="0" applyNumberFormat="1" applyFont="1" applyFill="1" applyBorder="1" applyAlignment="1">
      <alignment/>
    </xf>
    <xf numFmtId="1" fontId="21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4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179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23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1" fontId="0" fillId="0" borderId="0" xfId="0" applyNumberFormat="1" applyFont="1" applyAlignment="1">
      <alignment wrapText="1"/>
    </xf>
    <xf numFmtId="2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" fontId="18" fillId="0" borderId="15" xfId="0" applyNumberFormat="1" applyFont="1" applyBorder="1" applyAlignment="1">
      <alignment/>
    </xf>
    <xf numFmtId="1" fontId="18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 textRotation="90" shrinkToFit="1"/>
    </xf>
    <xf numFmtId="0" fontId="0" fillId="0" borderId="23" xfId="0" applyBorder="1" applyAlignment="1">
      <alignment horizontal="center" textRotation="90" shrinkToFi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left"/>
    </xf>
    <xf numFmtId="0" fontId="80" fillId="0" borderId="37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1" fillId="0" borderId="26" xfId="0" applyFont="1" applyBorder="1" applyAlignment="1">
      <alignment horizontal="center" textRotation="90" wrapText="1"/>
    </xf>
    <xf numFmtId="0" fontId="81" fillId="0" borderId="25" xfId="0" applyFont="1" applyBorder="1" applyAlignment="1">
      <alignment horizontal="center" textRotation="90" wrapText="1"/>
    </xf>
    <xf numFmtId="0" fontId="82" fillId="0" borderId="30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1" fillId="0" borderId="26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11" fillId="0" borderId="30" xfId="0" applyFont="1" applyBorder="1" applyAlignment="1">
      <alignment horizontal="center" textRotation="90" wrapText="1"/>
    </xf>
    <xf numFmtId="0" fontId="47" fillId="0" borderId="0" xfId="0" applyFont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37" xfId="0" applyFont="1" applyBorder="1" applyAlignment="1">
      <alignment horizontal="left"/>
    </xf>
    <xf numFmtId="0" fontId="50" fillId="0" borderId="26" xfId="0" applyFont="1" applyBorder="1" applyAlignment="1">
      <alignment horizont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right"/>
    </xf>
    <xf numFmtId="21" fontId="10" fillId="0" borderId="37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51" fillId="0" borderId="37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right"/>
    </xf>
    <xf numFmtId="21" fontId="51" fillId="0" borderId="37" xfId="0" applyNumberFormat="1" applyFont="1" applyFill="1" applyBorder="1" applyAlignment="1">
      <alignment horizontal="right"/>
    </xf>
    <xf numFmtId="0" fontId="51" fillId="0" borderId="16" xfId="0" applyFont="1" applyFill="1" applyBorder="1" applyAlignment="1">
      <alignment/>
    </xf>
    <xf numFmtId="0" fontId="51" fillId="0" borderId="37" xfId="0" applyFont="1" applyFill="1" applyBorder="1" applyAlignment="1">
      <alignment horizontal="left"/>
    </xf>
    <xf numFmtId="0" fontId="77" fillId="0" borderId="37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left"/>
    </xf>
    <xf numFmtId="21" fontId="77" fillId="0" borderId="37" xfId="0" applyNumberFormat="1" applyFont="1" applyFill="1" applyBorder="1" applyAlignment="1">
      <alignment horizontal="right"/>
    </xf>
    <xf numFmtId="0" fontId="77" fillId="0" borderId="16" xfId="0" applyFont="1" applyFill="1" applyBorder="1" applyAlignment="1">
      <alignment/>
    </xf>
    <xf numFmtId="0" fontId="77" fillId="0" borderId="37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right"/>
    </xf>
    <xf numFmtId="21" fontId="77" fillId="0" borderId="37" xfId="0" applyNumberFormat="1" applyFont="1" applyBorder="1" applyAlignment="1">
      <alignment horizontal="right"/>
    </xf>
    <xf numFmtId="0" fontId="77" fillId="0" borderId="16" xfId="0" applyFont="1" applyBorder="1" applyAlignment="1">
      <alignment/>
    </xf>
    <xf numFmtId="0" fontId="78" fillId="0" borderId="37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right"/>
    </xf>
    <xf numFmtId="21" fontId="78" fillId="0" borderId="37" xfId="0" applyNumberFormat="1" applyFont="1" applyBorder="1" applyAlignment="1">
      <alignment horizontal="right"/>
    </xf>
    <xf numFmtId="0" fontId="78" fillId="0" borderId="16" xfId="0" applyFont="1" applyBorder="1" applyAlignment="1">
      <alignment/>
    </xf>
    <xf numFmtId="0" fontId="49" fillId="0" borderId="35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0" fillId="0" borderId="25" xfId="0" applyFont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21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/>
    </xf>
    <xf numFmtId="21" fontId="51" fillId="0" borderId="0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1" fontId="51" fillId="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/>
    </xf>
    <xf numFmtId="21" fontId="77" fillId="0" borderId="0" xfId="0" applyNumberFormat="1" applyFont="1" applyFill="1" applyBorder="1" applyAlignment="1">
      <alignment horizontal="right"/>
    </xf>
    <xf numFmtId="1" fontId="77" fillId="0" borderId="15" xfId="0" applyNumberFormat="1" applyFont="1" applyFill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right"/>
    </xf>
    <xf numFmtId="21" fontId="77" fillId="0" borderId="0" xfId="0" applyNumberFormat="1" applyFont="1" applyBorder="1" applyAlignment="1">
      <alignment horizontal="right"/>
    </xf>
    <xf numFmtId="0" fontId="77" fillId="0" borderId="15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/>
    </xf>
    <xf numFmtId="21" fontId="78" fillId="0" borderId="0" xfId="0" applyNumberFormat="1" applyFont="1" applyBorder="1" applyAlignment="1">
      <alignment horizontal="right"/>
    </xf>
    <xf numFmtId="1" fontId="78" fillId="0" borderId="15" xfId="0" applyNumberFormat="1" applyFont="1" applyBorder="1" applyAlignment="1">
      <alignment/>
    </xf>
    <xf numFmtId="0" fontId="78" fillId="0" borderId="15" xfId="0" applyFont="1" applyBorder="1" applyAlignment="1">
      <alignment/>
    </xf>
    <xf numFmtId="0" fontId="77" fillId="0" borderId="15" xfId="0" applyFont="1" applyFill="1" applyBorder="1" applyAlignment="1">
      <alignment/>
    </xf>
    <xf numFmtId="0" fontId="49" fillId="0" borderId="50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52" fillId="0" borderId="30" xfId="0" applyFont="1" applyBorder="1" applyAlignment="1">
      <alignment horizontal="center" textRotation="90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51" fillId="0" borderId="3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/>
    </xf>
    <xf numFmtId="0" fontId="51" fillId="0" borderId="31" xfId="0" applyFont="1" applyFill="1" applyBorder="1" applyAlignment="1">
      <alignment horizontal="right"/>
    </xf>
    <xf numFmtId="0" fontId="51" fillId="0" borderId="17" xfId="0" applyFont="1" applyFill="1" applyBorder="1" applyAlignment="1">
      <alignment/>
    </xf>
    <xf numFmtId="0" fontId="77" fillId="0" borderId="31" xfId="0" applyFont="1" applyFill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right"/>
    </xf>
    <xf numFmtId="21" fontId="77" fillId="0" borderId="31" xfId="0" applyNumberFormat="1" applyFont="1" applyBorder="1" applyAlignment="1">
      <alignment horizontal="right"/>
    </xf>
    <xf numFmtId="0" fontId="77" fillId="0" borderId="17" xfId="0" applyFont="1" applyBorder="1" applyAlignment="1">
      <alignment/>
    </xf>
    <xf numFmtId="0" fontId="78" fillId="0" borderId="31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right"/>
    </xf>
    <xf numFmtId="21" fontId="78" fillId="0" borderId="31" xfId="0" applyNumberFormat="1" applyFont="1" applyBorder="1" applyAlignment="1">
      <alignment horizontal="right"/>
    </xf>
    <xf numFmtId="0" fontId="78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7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21" fontId="8" fillId="0" borderId="0" xfId="0" applyNumberFormat="1" applyFont="1" applyBorder="1" applyAlignment="1">
      <alignment horizontal="right"/>
    </xf>
    <xf numFmtId="21" fontId="51" fillId="0" borderId="0" xfId="0" applyNumberFormat="1" applyFont="1" applyBorder="1" applyAlignment="1">
      <alignment horizontal="right"/>
    </xf>
    <xf numFmtId="0" fontId="79" fillId="0" borderId="0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right"/>
    </xf>
    <xf numFmtId="21" fontId="79" fillId="0" borderId="0" xfId="0" applyNumberFormat="1" applyFont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2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/>
    </xf>
    <xf numFmtId="0" fontId="0" fillId="0" borderId="0" xfId="0" applyFont="1" applyAlignment="1">
      <alignment/>
    </xf>
    <xf numFmtId="1" fontId="83" fillId="0" borderId="15" xfId="0" applyNumberFormat="1" applyFont="1" applyFill="1" applyBorder="1" applyAlignment="1">
      <alignment/>
    </xf>
    <xf numFmtId="0" fontId="7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25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21" fontId="0" fillId="0" borderId="0" xfId="0" applyNumberFormat="1" applyFont="1" applyFill="1" applyAlignment="1">
      <alignment horizontal="right"/>
    </xf>
    <xf numFmtId="179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Fill="1" applyAlignment="1">
      <alignment horizontal="right" wrapText="1"/>
    </xf>
    <xf numFmtId="1" fontId="0" fillId="0" borderId="15" xfId="0" applyNumberFormat="1" applyFont="1" applyBorder="1" applyAlignment="1">
      <alignment/>
    </xf>
    <xf numFmtId="21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14" xfId="0" applyFont="1" applyFill="1" applyBorder="1" applyAlignment="1">
      <alignment/>
    </xf>
    <xf numFmtId="21" fontId="0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81" fontId="0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21" fontId="0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Border="1" applyAlignment="1">
      <alignment horizontal="right"/>
    </xf>
    <xf numFmtId="46" fontId="0" fillId="0" borderId="0" xfId="0" applyNumberFormat="1" applyFont="1" applyAlignment="1">
      <alignment/>
    </xf>
    <xf numFmtId="21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46" fontId="0" fillId="0" borderId="15" xfId="0" applyNumberFormat="1" applyFont="1" applyBorder="1" applyAlignment="1">
      <alignment/>
    </xf>
    <xf numFmtId="21" fontId="0" fillId="0" borderId="0" xfId="0" applyNumberFormat="1" applyFont="1" applyAlignment="1">
      <alignment horizontal="right" wrapText="1"/>
    </xf>
    <xf numFmtId="18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1" fontId="8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84" fillId="0" borderId="15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90">
      <selection activeCell="K124" sqref="K124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5.57421875" style="0" customWidth="1"/>
    <col min="4" max="4" width="38.00390625" style="0" customWidth="1"/>
    <col min="5" max="5" width="14.57421875" style="0" customWidth="1"/>
    <col min="6" max="6" width="6.421875" style="0" customWidth="1"/>
    <col min="7" max="7" width="6.421875" style="1" customWidth="1"/>
    <col min="8" max="8" width="9.421875" style="1" customWidth="1"/>
    <col min="9" max="9" width="6.421875" style="0" customWidth="1"/>
    <col min="10" max="10" width="6.421875" style="1" customWidth="1"/>
    <col min="11" max="11" width="9.00390625" style="0" customWidth="1"/>
  </cols>
  <sheetData>
    <row r="1" spans="1:11" ht="33" customHeight="1">
      <c r="A1" s="310" t="s">
        <v>87</v>
      </c>
      <c r="B1" s="320"/>
      <c r="C1" s="322" t="s">
        <v>9</v>
      </c>
      <c r="D1" s="318" t="s">
        <v>91</v>
      </c>
      <c r="E1" s="318" t="s">
        <v>5</v>
      </c>
      <c r="F1" s="312" t="s">
        <v>7</v>
      </c>
      <c r="G1" s="313"/>
      <c r="H1" s="314"/>
      <c r="I1" s="312" t="s">
        <v>8</v>
      </c>
      <c r="J1" s="313"/>
      <c r="K1" s="315"/>
    </row>
    <row r="2" spans="1:11" ht="16.5" customHeight="1" thickBot="1">
      <c r="A2" s="311"/>
      <c r="B2" s="321"/>
      <c r="C2" s="323"/>
      <c r="D2" s="319"/>
      <c r="E2" s="319"/>
      <c r="F2" s="2" t="s">
        <v>6</v>
      </c>
      <c r="G2" s="2" t="s">
        <v>160</v>
      </c>
      <c r="H2" s="6" t="s">
        <v>88</v>
      </c>
      <c r="I2" s="2" t="s">
        <v>6</v>
      </c>
      <c r="J2" s="4" t="s">
        <v>160</v>
      </c>
      <c r="K2" s="5" t="s">
        <v>88</v>
      </c>
    </row>
    <row r="3" spans="1:11" ht="15" customHeight="1">
      <c r="A3" s="295">
        <v>1</v>
      </c>
      <c r="B3" s="303" t="s">
        <v>403</v>
      </c>
      <c r="C3" s="324">
        <v>1</v>
      </c>
      <c r="D3" s="24" t="s">
        <v>547</v>
      </c>
      <c r="E3" s="17" t="s">
        <v>354</v>
      </c>
      <c r="F3" s="30" t="s">
        <v>1</v>
      </c>
      <c r="G3" s="20">
        <v>1000</v>
      </c>
      <c r="H3" s="27">
        <v>0.033483796296296296</v>
      </c>
      <c r="I3" s="20"/>
      <c r="J3" s="20"/>
      <c r="K3" s="21"/>
    </row>
    <row r="4" spans="1:11" ht="15" customHeight="1">
      <c r="A4" s="295"/>
      <c r="B4" s="316"/>
      <c r="C4" s="325"/>
      <c r="D4" s="25" t="s">
        <v>549</v>
      </c>
      <c r="E4" s="123" t="s">
        <v>405</v>
      </c>
      <c r="F4" s="31" t="s">
        <v>2</v>
      </c>
      <c r="G4" s="18">
        <v>800</v>
      </c>
      <c r="H4" s="28">
        <v>0.03298611111111111</v>
      </c>
      <c r="I4" s="33" t="s">
        <v>3</v>
      </c>
      <c r="J4" s="18">
        <v>1000</v>
      </c>
      <c r="K4" s="19">
        <v>0.029212962962962965</v>
      </c>
    </row>
    <row r="5" spans="1:11" ht="15" customHeight="1" thickBot="1">
      <c r="A5" s="296"/>
      <c r="B5" s="317"/>
      <c r="C5" s="326"/>
      <c r="D5" s="50" t="s">
        <v>548</v>
      </c>
      <c r="E5" s="124" t="s">
        <v>406</v>
      </c>
      <c r="F5" s="32" t="s">
        <v>158</v>
      </c>
      <c r="G5" s="22">
        <f>700*0.9</f>
        <v>630</v>
      </c>
      <c r="H5" s="49">
        <v>0.03804398148148148</v>
      </c>
      <c r="I5" s="34" t="s">
        <v>4</v>
      </c>
      <c r="J5" s="22">
        <v>800</v>
      </c>
      <c r="K5" s="23">
        <v>0.031608796296296295</v>
      </c>
    </row>
    <row r="6" spans="1:11" ht="15" customHeight="1">
      <c r="A6" s="309">
        <v>2</v>
      </c>
      <c r="B6" s="306" t="s">
        <v>415</v>
      </c>
      <c r="C6" s="324">
        <v>1</v>
      </c>
      <c r="D6" s="122" t="s">
        <v>551</v>
      </c>
      <c r="E6" s="26" t="s">
        <v>361</v>
      </c>
      <c r="F6" s="31" t="s">
        <v>1</v>
      </c>
      <c r="G6" s="18">
        <v>1000</v>
      </c>
      <c r="H6" s="28">
        <v>0.04096064814814815</v>
      </c>
      <c r="I6" s="33"/>
      <c r="J6" s="18"/>
      <c r="K6" s="11"/>
    </row>
    <row r="7" spans="1:11" ht="15" customHeight="1">
      <c r="A7" s="295"/>
      <c r="B7" s="325"/>
      <c r="C7" s="325"/>
      <c r="D7" s="25" t="s">
        <v>416</v>
      </c>
      <c r="E7" s="123" t="s">
        <v>417</v>
      </c>
      <c r="F7" s="31" t="s">
        <v>2</v>
      </c>
      <c r="G7" s="18">
        <v>800</v>
      </c>
      <c r="H7" s="28">
        <v>0.04923611111111111</v>
      </c>
      <c r="I7" s="33" t="s">
        <v>3</v>
      </c>
      <c r="J7" s="18">
        <v>1000</v>
      </c>
      <c r="K7" s="19">
        <v>0.04827546296296296</v>
      </c>
    </row>
    <row r="8" spans="1:11" ht="15" customHeight="1" thickBot="1">
      <c r="A8" s="296"/>
      <c r="B8" s="325"/>
      <c r="C8" s="325"/>
      <c r="D8" s="50" t="s">
        <v>419</v>
      </c>
      <c r="E8" s="124" t="s">
        <v>420</v>
      </c>
      <c r="F8" s="32"/>
      <c r="G8" s="22"/>
      <c r="H8" s="57"/>
      <c r="I8" s="34" t="s">
        <v>4</v>
      </c>
      <c r="J8" s="22">
        <v>800</v>
      </c>
      <c r="K8" s="119">
        <v>0.06460648148148147</v>
      </c>
    </row>
    <row r="9" spans="1:11" ht="15" customHeight="1">
      <c r="A9" s="295">
        <v>3</v>
      </c>
      <c r="B9" s="303" t="s">
        <v>430</v>
      </c>
      <c r="C9" s="324">
        <v>1</v>
      </c>
      <c r="D9" s="122" t="s">
        <v>425</v>
      </c>
      <c r="E9" s="123" t="s">
        <v>421</v>
      </c>
      <c r="F9" s="31" t="s">
        <v>1</v>
      </c>
      <c r="G9" s="18">
        <v>1000</v>
      </c>
      <c r="H9" s="28">
        <v>0.06010416666666666</v>
      </c>
      <c r="I9" s="33"/>
      <c r="J9" s="18"/>
      <c r="K9" s="11"/>
    </row>
    <row r="10" spans="1:11" ht="15" customHeight="1">
      <c r="A10" s="295"/>
      <c r="B10" s="327"/>
      <c r="C10" s="325"/>
      <c r="D10" s="125" t="s">
        <v>426</v>
      </c>
      <c r="E10" s="123" t="s">
        <v>422</v>
      </c>
      <c r="F10" s="31" t="s">
        <v>2</v>
      </c>
      <c r="G10" s="18">
        <v>800</v>
      </c>
      <c r="H10" s="28">
        <v>0.05637731481481482</v>
      </c>
      <c r="I10" s="33"/>
      <c r="J10" s="18"/>
      <c r="K10" s="19"/>
    </row>
    <row r="11" spans="1:11" ht="15" customHeight="1">
      <c r="A11" s="295"/>
      <c r="B11" s="327"/>
      <c r="C11" s="325"/>
      <c r="D11" s="25" t="s">
        <v>427</v>
      </c>
      <c r="E11" s="123" t="s">
        <v>423</v>
      </c>
      <c r="F11" s="31" t="s">
        <v>158</v>
      </c>
      <c r="G11" s="18">
        <v>700</v>
      </c>
      <c r="H11" s="28"/>
      <c r="I11" s="126" t="s">
        <v>3</v>
      </c>
      <c r="J11" s="18">
        <v>1000</v>
      </c>
      <c r="K11" s="19">
        <v>0.05586805555555555</v>
      </c>
    </row>
    <row r="12" spans="1:11" ht="15" customHeight="1" thickBot="1">
      <c r="A12" s="296"/>
      <c r="B12" s="328"/>
      <c r="C12" s="326"/>
      <c r="D12" s="50" t="s">
        <v>552</v>
      </c>
      <c r="E12" s="124" t="s">
        <v>424</v>
      </c>
      <c r="F12" s="32" t="s">
        <v>172</v>
      </c>
      <c r="G12" s="22">
        <f>600*0.9</f>
        <v>540</v>
      </c>
      <c r="H12" s="49"/>
      <c r="I12" s="127" t="s">
        <v>4</v>
      </c>
      <c r="J12" s="22">
        <f>800*0.9</f>
        <v>720</v>
      </c>
      <c r="K12" s="23">
        <v>0.051631944444444446</v>
      </c>
    </row>
    <row r="13" spans="1:11" ht="15" customHeight="1">
      <c r="A13" s="295">
        <v>4</v>
      </c>
      <c r="B13" s="303" t="s">
        <v>431</v>
      </c>
      <c r="C13" s="324">
        <v>1</v>
      </c>
      <c r="D13" s="122" t="s">
        <v>425</v>
      </c>
      <c r="E13" s="123" t="s">
        <v>433</v>
      </c>
      <c r="F13" s="31" t="s">
        <v>1</v>
      </c>
      <c r="G13" s="18">
        <v>1000</v>
      </c>
      <c r="H13" s="28">
        <v>0.048495370370370376</v>
      </c>
      <c r="I13" s="33"/>
      <c r="J13" s="18"/>
      <c r="K13" s="11"/>
    </row>
    <row r="14" spans="1:11" ht="15" customHeight="1">
      <c r="A14" s="295"/>
      <c r="B14" s="327"/>
      <c r="C14" s="325"/>
      <c r="D14" s="125" t="s">
        <v>438</v>
      </c>
      <c r="E14" s="123" t="s">
        <v>434</v>
      </c>
      <c r="F14" s="31" t="s">
        <v>2</v>
      </c>
      <c r="G14" s="18">
        <v>800</v>
      </c>
      <c r="H14" s="28">
        <v>0.04716435185185185</v>
      </c>
      <c r="I14" s="126" t="s">
        <v>3</v>
      </c>
      <c r="J14" s="18">
        <v>1000</v>
      </c>
      <c r="K14" s="19">
        <v>0.04474537037037037</v>
      </c>
    </row>
    <row r="15" spans="1:11" ht="15" customHeight="1">
      <c r="A15" s="295"/>
      <c r="B15" s="327"/>
      <c r="C15" s="325"/>
      <c r="D15" s="125" t="s">
        <v>437</v>
      </c>
      <c r="E15" s="123" t="s">
        <v>435</v>
      </c>
      <c r="F15" s="31" t="s">
        <v>158</v>
      </c>
      <c r="G15" s="18">
        <v>700</v>
      </c>
      <c r="H15" s="28">
        <v>0.040011574074074074</v>
      </c>
      <c r="K15" s="117"/>
    </row>
    <row r="16" spans="1:11" ht="15" customHeight="1" thickBot="1">
      <c r="A16" s="296"/>
      <c r="B16" s="328"/>
      <c r="C16" s="326"/>
      <c r="D16" s="50" t="s">
        <v>428</v>
      </c>
      <c r="E16" s="124" t="s">
        <v>436</v>
      </c>
      <c r="F16" s="32" t="s">
        <v>172</v>
      </c>
      <c r="G16" s="22">
        <f>600*0.9</f>
        <v>540</v>
      </c>
      <c r="H16" s="120">
        <v>0.033125</v>
      </c>
      <c r="I16" s="127" t="s">
        <v>4</v>
      </c>
      <c r="J16" s="22">
        <f>800*0.9</f>
        <v>720</v>
      </c>
      <c r="K16" s="118">
        <v>0.04414351851851852</v>
      </c>
    </row>
    <row r="17" spans="1:11" ht="15" customHeight="1">
      <c r="A17" s="295">
        <v>5</v>
      </c>
      <c r="B17" s="303" t="s">
        <v>440</v>
      </c>
      <c r="C17" s="324">
        <v>1.05</v>
      </c>
      <c r="D17" s="122" t="s">
        <v>443</v>
      </c>
      <c r="E17" s="123" t="s">
        <v>448</v>
      </c>
      <c r="F17" s="31" t="s">
        <v>1</v>
      </c>
      <c r="G17" s="18">
        <v>1000</v>
      </c>
      <c r="H17" s="48">
        <v>0.01355324074074074</v>
      </c>
      <c r="I17" s="18"/>
      <c r="J17" s="18"/>
      <c r="K17" s="11"/>
    </row>
    <row r="18" spans="1:11" ht="15" customHeight="1">
      <c r="A18" s="295"/>
      <c r="B18" s="327"/>
      <c r="C18" s="325"/>
      <c r="D18" s="25" t="s">
        <v>444</v>
      </c>
      <c r="E18" s="123" t="s">
        <v>449</v>
      </c>
      <c r="F18" s="31" t="s">
        <v>2</v>
      </c>
      <c r="G18" s="18">
        <v>850</v>
      </c>
      <c r="H18" s="48">
        <v>0.012083333333333333</v>
      </c>
      <c r="I18" s="33" t="s">
        <v>3</v>
      </c>
      <c r="J18" s="18">
        <v>1000</v>
      </c>
      <c r="K18" s="19">
        <v>0.013414351851851851</v>
      </c>
    </row>
    <row r="19" spans="1:11" ht="15" customHeight="1">
      <c r="A19" s="295"/>
      <c r="B19" s="327"/>
      <c r="C19" s="325"/>
      <c r="D19" s="25" t="s">
        <v>445</v>
      </c>
      <c r="E19" s="123" t="s">
        <v>450</v>
      </c>
      <c r="F19" s="31" t="s">
        <v>158</v>
      </c>
      <c r="G19" s="18">
        <v>800</v>
      </c>
      <c r="H19" s="48">
        <v>0.01105324074074074</v>
      </c>
      <c r="I19" s="33" t="s">
        <v>4</v>
      </c>
      <c r="J19" s="18">
        <v>850</v>
      </c>
      <c r="K19" s="19">
        <v>0.012453703703703703</v>
      </c>
    </row>
    <row r="20" spans="1:11" ht="15" customHeight="1">
      <c r="A20" s="295"/>
      <c r="B20" s="327"/>
      <c r="C20" s="325"/>
      <c r="D20" s="122" t="s">
        <v>446</v>
      </c>
      <c r="E20" s="123" t="s">
        <v>451</v>
      </c>
      <c r="F20" s="128" t="s">
        <v>172</v>
      </c>
      <c r="G20" s="18">
        <v>700</v>
      </c>
      <c r="H20" s="48">
        <v>0.01087962962962963</v>
      </c>
      <c r="I20" s="33"/>
      <c r="J20" s="18"/>
      <c r="K20" s="19"/>
    </row>
    <row r="21" spans="1:11" ht="15" customHeight="1">
      <c r="A21" s="295"/>
      <c r="B21" s="327"/>
      <c r="C21" s="325"/>
      <c r="D21" s="25" t="s">
        <v>447</v>
      </c>
      <c r="E21" s="123" t="s">
        <v>452</v>
      </c>
      <c r="F21" s="31"/>
      <c r="G21" s="18"/>
      <c r="H21" s="48"/>
      <c r="I21" s="126" t="s">
        <v>159</v>
      </c>
      <c r="J21" s="18">
        <v>800</v>
      </c>
      <c r="K21" s="19">
        <v>0.01638888888888889</v>
      </c>
    </row>
    <row r="22" spans="1:11" ht="15" customHeight="1" thickBot="1">
      <c r="A22" s="296"/>
      <c r="B22" s="328"/>
      <c r="C22" s="326"/>
      <c r="D22" s="50" t="s">
        <v>465</v>
      </c>
      <c r="E22" s="124" t="s">
        <v>453</v>
      </c>
      <c r="F22" s="129" t="s">
        <v>173</v>
      </c>
      <c r="G22" s="22">
        <v>600</v>
      </c>
      <c r="H22" s="120">
        <v>0.009976851851851853</v>
      </c>
      <c r="I22" s="127" t="s">
        <v>174</v>
      </c>
      <c r="J22" s="22">
        <f>700*0.9</f>
        <v>630</v>
      </c>
      <c r="K22" s="23">
        <v>0.01252314814814815</v>
      </c>
    </row>
    <row r="23" spans="1:11" ht="15" customHeight="1">
      <c r="A23" s="295">
        <v>6</v>
      </c>
      <c r="B23" s="303" t="s">
        <v>441</v>
      </c>
      <c r="C23" s="324">
        <v>1.05</v>
      </c>
      <c r="D23" s="122" t="s">
        <v>443</v>
      </c>
      <c r="E23" s="130" t="s">
        <v>454</v>
      </c>
      <c r="F23" s="31" t="s">
        <v>1</v>
      </c>
      <c r="G23" s="18">
        <v>1000</v>
      </c>
      <c r="H23" s="48">
        <v>0.06166666666666667</v>
      </c>
      <c r="I23" s="18"/>
      <c r="J23" s="18"/>
      <c r="K23" s="11"/>
    </row>
    <row r="24" spans="1:11" ht="15" customHeight="1">
      <c r="A24" s="295"/>
      <c r="B24" s="327"/>
      <c r="C24" s="325"/>
      <c r="D24" s="25" t="s">
        <v>444</v>
      </c>
      <c r="E24" s="130" t="s">
        <v>455</v>
      </c>
      <c r="F24" s="31" t="s">
        <v>2</v>
      </c>
      <c r="G24" s="18">
        <v>850</v>
      </c>
      <c r="H24" s="48">
        <v>0.054699074074074074</v>
      </c>
      <c r="I24" s="33" t="s">
        <v>3</v>
      </c>
      <c r="J24" s="18">
        <v>1000</v>
      </c>
      <c r="K24" s="19">
        <v>0.055312499999999994</v>
      </c>
    </row>
    <row r="25" spans="1:11" ht="15" customHeight="1">
      <c r="A25" s="295"/>
      <c r="B25" s="327"/>
      <c r="C25" s="325"/>
      <c r="D25" s="25" t="s">
        <v>445</v>
      </c>
      <c r="E25" s="130" t="s">
        <v>456</v>
      </c>
      <c r="F25" s="31" t="s">
        <v>158</v>
      </c>
      <c r="G25" s="18">
        <v>800</v>
      </c>
      <c r="H25" s="48">
        <v>0.05663194444444444</v>
      </c>
      <c r="I25" s="33" t="s">
        <v>4</v>
      </c>
      <c r="J25" s="18">
        <v>850</v>
      </c>
      <c r="K25" s="19">
        <v>0.06546296296296296</v>
      </c>
    </row>
    <row r="26" spans="1:11" ht="15" customHeight="1">
      <c r="A26" s="295"/>
      <c r="B26" s="327"/>
      <c r="C26" s="325"/>
      <c r="D26" s="122" t="s">
        <v>446</v>
      </c>
      <c r="E26" s="130" t="s">
        <v>457</v>
      </c>
      <c r="F26" s="128" t="s">
        <v>172</v>
      </c>
      <c r="G26" s="18">
        <v>700</v>
      </c>
      <c r="H26" s="48">
        <v>0.04784722222222223</v>
      </c>
      <c r="I26" s="33"/>
      <c r="J26" s="18"/>
      <c r="K26" s="19"/>
    </row>
    <row r="27" spans="1:11" ht="15" customHeight="1">
      <c r="A27" s="295"/>
      <c r="B27" s="327"/>
      <c r="C27" s="325"/>
      <c r="D27" s="25" t="s">
        <v>447</v>
      </c>
      <c r="E27" s="130" t="s">
        <v>458</v>
      </c>
      <c r="F27" s="31"/>
      <c r="G27" s="18"/>
      <c r="H27" s="48"/>
      <c r="I27" s="126" t="s">
        <v>159</v>
      </c>
      <c r="J27" s="18">
        <v>800</v>
      </c>
      <c r="K27" s="19">
        <v>0.043993055555555556</v>
      </c>
    </row>
    <row r="28" spans="1:11" ht="15" customHeight="1" thickBot="1">
      <c r="A28" s="296"/>
      <c r="B28" s="328"/>
      <c r="C28" s="326"/>
      <c r="D28" s="50" t="s">
        <v>465</v>
      </c>
      <c r="E28" s="131" t="s">
        <v>459</v>
      </c>
      <c r="F28" s="129" t="s">
        <v>173</v>
      </c>
      <c r="G28" s="22">
        <f>600*0.9</f>
        <v>540</v>
      </c>
      <c r="H28" s="49">
        <v>0.05672453703703704</v>
      </c>
      <c r="I28" s="127" t="s">
        <v>174</v>
      </c>
      <c r="J28" s="22">
        <f>700*0.9</f>
        <v>630</v>
      </c>
      <c r="K28" s="23">
        <v>0.046250000000000006</v>
      </c>
    </row>
    <row r="29" spans="1:11" ht="15" customHeight="1">
      <c r="A29" s="295">
        <v>7</v>
      </c>
      <c r="B29" s="303" t="s">
        <v>442</v>
      </c>
      <c r="C29" s="324">
        <v>1.05</v>
      </c>
      <c r="D29" s="122" t="s">
        <v>443</v>
      </c>
      <c r="E29" s="132" t="s">
        <v>460</v>
      </c>
      <c r="F29" s="31" t="s">
        <v>1</v>
      </c>
      <c r="G29" s="18">
        <v>1000</v>
      </c>
      <c r="H29" s="48">
        <v>0.04462962962962963</v>
      </c>
      <c r="I29" s="18"/>
      <c r="J29" s="18"/>
      <c r="K29" s="11"/>
    </row>
    <row r="30" spans="1:11" ht="15" customHeight="1">
      <c r="A30" s="295"/>
      <c r="B30" s="327"/>
      <c r="C30" s="325"/>
      <c r="D30" s="25" t="s">
        <v>444</v>
      </c>
      <c r="E30" s="123" t="s">
        <v>461</v>
      </c>
      <c r="F30" s="31" t="s">
        <v>2</v>
      </c>
      <c r="G30" s="18">
        <v>850</v>
      </c>
      <c r="H30" s="48">
        <v>0.03686342592592593</v>
      </c>
      <c r="I30" s="33" t="s">
        <v>3</v>
      </c>
      <c r="J30" s="18">
        <v>1000</v>
      </c>
      <c r="K30" s="19">
        <v>0.0418287037037037</v>
      </c>
    </row>
    <row r="31" spans="1:11" ht="15" customHeight="1">
      <c r="A31" s="295"/>
      <c r="B31" s="327"/>
      <c r="C31" s="325"/>
      <c r="D31" s="25" t="s">
        <v>445</v>
      </c>
      <c r="E31" s="123" t="s">
        <v>462</v>
      </c>
      <c r="F31" s="31" t="s">
        <v>158</v>
      </c>
      <c r="G31" s="18">
        <v>800</v>
      </c>
      <c r="H31" s="48">
        <v>0.03751157407407407</v>
      </c>
      <c r="I31" s="33" t="s">
        <v>4</v>
      </c>
      <c r="J31" s="18">
        <v>850</v>
      </c>
      <c r="K31" s="19">
        <v>0.04252314814814815</v>
      </c>
    </row>
    <row r="32" spans="1:11" ht="15" customHeight="1">
      <c r="A32" s="295"/>
      <c r="B32" s="327"/>
      <c r="C32" s="325"/>
      <c r="D32" s="122" t="s">
        <v>446</v>
      </c>
      <c r="E32" s="123" t="s">
        <v>463</v>
      </c>
      <c r="F32" s="128" t="s">
        <v>172</v>
      </c>
      <c r="G32" s="18">
        <v>700</v>
      </c>
      <c r="H32" s="48">
        <v>0.031064814814814812</v>
      </c>
      <c r="I32" s="33"/>
      <c r="J32" s="18"/>
      <c r="K32" s="19"/>
    </row>
    <row r="33" spans="1:11" ht="15" customHeight="1">
      <c r="A33" s="295"/>
      <c r="B33" s="327"/>
      <c r="C33" s="325"/>
      <c r="D33" s="25" t="s">
        <v>447</v>
      </c>
      <c r="E33" s="123" t="s">
        <v>386</v>
      </c>
      <c r="F33" s="31"/>
      <c r="G33" s="18"/>
      <c r="H33" s="48"/>
      <c r="I33" s="126" t="s">
        <v>159</v>
      </c>
      <c r="J33" s="18">
        <v>800</v>
      </c>
      <c r="K33" s="19">
        <v>0.038182870370370374</v>
      </c>
    </row>
    <row r="34" spans="1:11" ht="15" customHeight="1" thickBot="1">
      <c r="A34" s="296"/>
      <c r="B34" s="328"/>
      <c r="C34" s="326"/>
      <c r="D34" s="50" t="s">
        <v>465</v>
      </c>
      <c r="E34" s="124" t="s">
        <v>464</v>
      </c>
      <c r="F34" s="129" t="s">
        <v>173</v>
      </c>
      <c r="G34" s="22">
        <f>600*0.9</f>
        <v>540</v>
      </c>
      <c r="H34" s="133">
        <v>0.03008101851851852</v>
      </c>
      <c r="I34" s="127" t="s">
        <v>174</v>
      </c>
      <c r="J34" s="22">
        <f>700*0.9</f>
        <v>630</v>
      </c>
      <c r="K34" s="23">
        <v>0.02487268518518519</v>
      </c>
    </row>
    <row r="35" spans="1:11" ht="15" customHeight="1">
      <c r="A35" s="309">
        <v>8</v>
      </c>
      <c r="B35" s="303" t="s">
        <v>604</v>
      </c>
      <c r="C35" s="306">
        <v>1.1</v>
      </c>
      <c r="D35" s="125" t="s">
        <v>625</v>
      </c>
      <c r="E35" s="135" t="s">
        <v>626</v>
      </c>
      <c r="F35" s="151" t="s">
        <v>1</v>
      </c>
      <c r="G35" s="136">
        <v>1000</v>
      </c>
      <c r="H35" s="142">
        <v>0.07762731481481482</v>
      </c>
      <c r="I35" s="136"/>
      <c r="J35" s="136"/>
      <c r="K35" s="134"/>
    </row>
    <row r="36" spans="1:11" ht="15" customHeight="1">
      <c r="A36" s="295"/>
      <c r="B36" s="304"/>
      <c r="C36" s="307"/>
      <c r="D36" s="147" t="s">
        <v>624</v>
      </c>
      <c r="E36" s="137" t="s">
        <v>618</v>
      </c>
      <c r="F36" s="151" t="s">
        <v>2</v>
      </c>
      <c r="G36" s="136">
        <f>850*0.9</f>
        <v>765</v>
      </c>
      <c r="H36" s="142">
        <v>0.09981481481481481</v>
      </c>
      <c r="I36" s="154" t="s">
        <v>3</v>
      </c>
      <c r="J36" s="136">
        <v>1000</v>
      </c>
      <c r="K36" s="138">
        <v>0.0795949074074074</v>
      </c>
    </row>
    <row r="37" spans="1:11" ht="15" customHeight="1">
      <c r="A37" s="295"/>
      <c r="B37" s="304"/>
      <c r="C37" s="307"/>
      <c r="D37" s="148" t="s">
        <v>623</v>
      </c>
      <c r="E37" s="144" t="s">
        <v>622</v>
      </c>
      <c r="F37" s="151" t="s">
        <v>158</v>
      </c>
      <c r="G37" s="136">
        <v>800</v>
      </c>
      <c r="H37" s="142">
        <v>0.06584490740740741</v>
      </c>
      <c r="I37" s="154" t="s">
        <v>4</v>
      </c>
      <c r="J37" s="136">
        <v>850</v>
      </c>
      <c r="K37" s="138">
        <v>0.09600694444444445</v>
      </c>
    </row>
    <row r="38" spans="1:11" ht="15" customHeight="1">
      <c r="A38" s="295"/>
      <c r="B38" s="304"/>
      <c r="C38" s="307"/>
      <c r="D38" s="143" t="s">
        <v>615</v>
      </c>
      <c r="E38" s="144" t="s">
        <v>621</v>
      </c>
      <c r="F38" s="151" t="s">
        <v>172</v>
      </c>
      <c r="G38" s="136">
        <v>700</v>
      </c>
      <c r="H38" s="142">
        <v>0.0712037037037037</v>
      </c>
      <c r="I38" s="154" t="s">
        <v>159</v>
      </c>
      <c r="J38" s="136">
        <v>800</v>
      </c>
      <c r="K38" s="138">
        <v>0.07383101851851852</v>
      </c>
    </row>
    <row r="39" spans="1:11" ht="15" customHeight="1">
      <c r="A39" s="295"/>
      <c r="B39" s="304"/>
      <c r="C39" s="307"/>
      <c r="D39" s="143" t="s">
        <v>616</v>
      </c>
      <c r="E39" s="144" t="s">
        <v>620</v>
      </c>
      <c r="F39" s="151" t="s">
        <v>173</v>
      </c>
      <c r="G39" s="136">
        <v>600</v>
      </c>
      <c r="H39" s="142">
        <v>0.06461805555555555</v>
      </c>
      <c r="I39" s="154" t="s">
        <v>174</v>
      </c>
      <c r="J39" s="136">
        <f>700*0.9</f>
        <v>630</v>
      </c>
      <c r="K39" s="138">
        <v>0.08137731481481482</v>
      </c>
    </row>
    <row r="40" spans="1:11" ht="15" customHeight="1" thickBot="1">
      <c r="A40" s="296"/>
      <c r="B40" s="305"/>
      <c r="C40" s="307"/>
      <c r="D40" s="145" t="s">
        <v>617</v>
      </c>
      <c r="E40" s="139" t="s">
        <v>619</v>
      </c>
      <c r="F40" s="152" t="s">
        <v>627</v>
      </c>
      <c r="G40" s="140">
        <v>500</v>
      </c>
      <c r="H40" s="146">
        <v>0.050034722222222223</v>
      </c>
      <c r="I40" s="155" t="s">
        <v>628</v>
      </c>
      <c r="J40" s="140">
        <v>600</v>
      </c>
      <c r="K40" s="141">
        <v>0.057847222222222223</v>
      </c>
    </row>
    <row r="41" spans="1:11" ht="15" customHeight="1">
      <c r="A41" s="329">
        <v>9</v>
      </c>
      <c r="B41" s="303" t="s">
        <v>605</v>
      </c>
      <c r="C41" s="306">
        <v>1.1</v>
      </c>
      <c r="D41" s="125" t="s">
        <v>606</v>
      </c>
      <c r="E41" s="135" t="s">
        <v>607</v>
      </c>
      <c r="F41" s="151" t="s">
        <v>1</v>
      </c>
      <c r="G41" s="136">
        <v>1000</v>
      </c>
      <c r="H41" s="142">
        <v>0.019953703703703706</v>
      </c>
      <c r="I41" s="154"/>
      <c r="J41" s="136"/>
      <c r="K41" s="134"/>
    </row>
    <row r="42" spans="1:14" ht="15" customHeight="1">
      <c r="A42" s="329"/>
      <c r="B42" s="304"/>
      <c r="C42" s="307"/>
      <c r="D42" s="147" t="s">
        <v>608</v>
      </c>
      <c r="E42" s="137" t="s">
        <v>609</v>
      </c>
      <c r="F42" s="151"/>
      <c r="G42" s="136"/>
      <c r="H42" s="142"/>
      <c r="I42" s="154" t="s">
        <v>3</v>
      </c>
      <c r="J42" s="136">
        <v>1000</v>
      </c>
      <c r="K42" s="138">
        <v>0.021689814814814815</v>
      </c>
      <c r="N42" s="121"/>
    </row>
    <row r="43" spans="1:14" ht="15" customHeight="1">
      <c r="A43" s="329"/>
      <c r="B43" s="304"/>
      <c r="C43" s="307"/>
      <c r="D43" s="148" t="s">
        <v>611</v>
      </c>
      <c r="E43" s="144" t="s">
        <v>610</v>
      </c>
      <c r="F43" s="151" t="s">
        <v>2</v>
      </c>
      <c r="G43" s="136">
        <v>800</v>
      </c>
      <c r="H43" s="142">
        <v>0.018784722222222223</v>
      </c>
      <c r="I43" s="154"/>
      <c r="J43" s="136"/>
      <c r="K43" s="134"/>
      <c r="N43" s="121"/>
    </row>
    <row r="44" spans="1:14" ht="15" customHeight="1">
      <c r="A44" s="329"/>
      <c r="B44" s="304"/>
      <c r="C44" s="307"/>
      <c r="D44" s="143" t="s">
        <v>615</v>
      </c>
      <c r="E44" s="144" t="s">
        <v>612</v>
      </c>
      <c r="F44" s="151" t="s">
        <v>158</v>
      </c>
      <c r="G44" s="136">
        <v>700</v>
      </c>
      <c r="H44" s="142">
        <v>0.01931712962962963</v>
      </c>
      <c r="I44" s="154" t="s">
        <v>4</v>
      </c>
      <c r="J44" s="136">
        <v>800</v>
      </c>
      <c r="K44" s="138">
        <v>0.02377314814814815</v>
      </c>
      <c r="N44" s="121"/>
    </row>
    <row r="45" spans="1:14" ht="15" customHeight="1">
      <c r="A45" s="329"/>
      <c r="B45" s="304"/>
      <c r="C45" s="307"/>
      <c r="D45" s="143" t="s">
        <v>616</v>
      </c>
      <c r="E45" s="144" t="s">
        <v>613</v>
      </c>
      <c r="F45" s="151" t="s">
        <v>172</v>
      </c>
      <c r="G45" s="136">
        <v>600</v>
      </c>
      <c r="H45" s="142">
        <v>0.02677083333333333</v>
      </c>
      <c r="I45" s="154" t="s">
        <v>159</v>
      </c>
      <c r="J45" s="136">
        <f>700*0.9</f>
        <v>630</v>
      </c>
      <c r="K45" s="138">
        <v>0.030000000000000002</v>
      </c>
      <c r="N45" s="121"/>
    </row>
    <row r="46" spans="1:14" ht="15" customHeight="1" thickBot="1">
      <c r="A46" s="329"/>
      <c r="B46" s="304"/>
      <c r="C46" s="307"/>
      <c r="D46" s="145" t="s">
        <v>617</v>
      </c>
      <c r="E46" s="139" t="s">
        <v>614</v>
      </c>
      <c r="F46" s="153" t="s">
        <v>173</v>
      </c>
      <c r="G46" s="140">
        <v>500</v>
      </c>
      <c r="H46" s="146">
        <v>0.01726851851851852</v>
      </c>
      <c r="I46" s="155" t="s">
        <v>174</v>
      </c>
      <c r="J46" s="140">
        <v>600</v>
      </c>
      <c r="K46" s="141">
        <v>0.023680555555555555</v>
      </c>
      <c r="N46" s="121"/>
    </row>
    <row r="47" spans="1:11" ht="15" customHeight="1">
      <c r="A47" s="309">
        <v>10</v>
      </c>
      <c r="B47" s="303" t="s">
        <v>682</v>
      </c>
      <c r="C47" s="306">
        <v>1.05</v>
      </c>
      <c r="D47" s="125" t="s">
        <v>377</v>
      </c>
      <c r="E47" s="137" t="s">
        <v>676</v>
      </c>
      <c r="F47" s="151" t="s">
        <v>1</v>
      </c>
      <c r="G47" s="136">
        <v>1000</v>
      </c>
      <c r="H47" s="156">
        <v>0.01916666666666667</v>
      </c>
      <c r="I47" s="136"/>
      <c r="J47" s="136"/>
      <c r="K47" s="134"/>
    </row>
    <row r="48" spans="1:11" ht="15" customHeight="1">
      <c r="A48" s="295"/>
      <c r="B48" s="304"/>
      <c r="C48" s="307"/>
      <c r="D48" s="149" t="s">
        <v>656</v>
      </c>
      <c r="E48" s="137" t="s">
        <v>677</v>
      </c>
      <c r="F48" s="151"/>
      <c r="G48" s="136"/>
      <c r="H48" s="156"/>
      <c r="I48" s="154" t="s">
        <v>3</v>
      </c>
      <c r="J48" s="136">
        <v>1000</v>
      </c>
      <c r="K48" s="138">
        <v>0.020555555555555556</v>
      </c>
    </row>
    <row r="49" spans="1:15" ht="15" customHeight="1">
      <c r="A49" s="295"/>
      <c r="B49" s="304"/>
      <c r="C49" s="307"/>
      <c r="D49" s="125" t="s">
        <v>657</v>
      </c>
      <c r="E49" s="137" t="s">
        <v>677</v>
      </c>
      <c r="F49" s="151" t="s">
        <v>2</v>
      </c>
      <c r="G49" s="136">
        <v>800</v>
      </c>
      <c r="H49" s="156">
        <v>0.01934027777777778</v>
      </c>
      <c r="I49" s="154"/>
      <c r="J49" s="136"/>
      <c r="K49" s="134"/>
      <c r="M49" s="3"/>
      <c r="N49" s="3"/>
      <c r="O49" s="3"/>
    </row>
    <row r="50" spans="1:11" ht="15" customHeight="1">
      <c r="A50" s="295"/>
      <c r="B50" s="304"/>
      <c r="C50" s="307"/>
      <c r="D50" s="149" t="s">
        <v>658</v>
      </c>
      <c r="E50" s="137" t="s">
        <v>678</v>
      </c>
      <c r="F50" s="151"/>
      <c r="G50" s="136"/>
      <c r="H50" s="156"/>
      <c r="I50" s="154" t="s">
        <v>4</v>
      </c>
      <c r="J50" s="136">
        <v>800</v>
      </c>
      <c r="K50" s="19">
        <v>0.02065972222222222</v>
      </c>
    </row>
    <row r="51" spans="1:15" ht="15" customHeight="1">
      <c r="A51" s="295"/>
      <c r="B51" s="304"/>
      <c r="C51" s="307"/>
      <c r="D51" s="125" t="s">
        <v>659</v>
      </c>
      <c r="E51" s="150" t="s">
        <v>679</v>
      </c>
      <c r="F51" s="151" t="s">
        <v>158</v>
      </c>
      <c r="G51" s="136">
        <v>700</v>
      </c>
      <c r="H51" s="142">
        <v>0.016666666666666666</v>
      </c>
      <c r="I51" s="154"/>
      <c r="J51" s="136"/>
      <c r="K51" s="138"/>
      <c r="M51" s="3"/>
      <c r="N51" s="3"/>
      <c r="O51" s="3"/>
    </row>
    <row r="52" spans="1:11" ht="15" customHeight="1">
      <c r="A52" s="295"/>
      <c r="B52" s="304"/>
      <c r="C52" s="307"/>
      <c r="D52" s="150" t="s">
        <v>660</v>
      </c>
      <c r="E52" s="150" t="s">
        <v>680</v>
      </c>
      <c r="F52" s="151" t="s">
        <v>172</v>
      </c>
      <c r="G52" s="136">
        <v>600</v>
      </c>
      <c r="H52" s="142">
        <v>0.018460648148148146</v>
      </c>
      <c r="I52" s="154" t="s">
        <v>159</v>
      </c>
      <c r="J52" s="136">
        <v>700</v>
      </c>
      <c r="K52" s="19">
        <v>0.01818287037037037</v>
      </c>
    </row>
    <row r="53" spans="1:11" ht="15" customHeight="1" thickBot="1">
      <c r="A53" s="296"/>
      <c r="B53" s="304"/>
      <c r="C53" s="307"/>
      <c r="D53" s="145" t="s">
        <v>661</v>
      </c>
      <c r="E53" s="124" t="s">
        <v>681</v>
      </c>
      <c r="F53" s="153" t="s">
        <v>173</v>
      </c>
      <c r="G53" s="140">
        <v>500</v>
      </c>
      <c r="H53" s="146">
        <v>0.007303240740740741</v>
      </c>
      <c r="I53" s="155" t="s">
        <v>174</v>
      </c>
      <c r="J53" s="140">
        <v>600</v>
      </c>
      <c r="K53" s="141">
        <v>0.015243055555555557</v>
      </c>
    </row>
    <row r="54" spans="1:11" ht="15" customHeight="1">
      <c r="A54" s="295">
        <v>11</v>
      </c>
      <c r="B54" s="303" t="s">
        <v>683</v>
      </c>
      <c r="C54" s="306">
        <v>1.05</v>
      </c>
      <c r="D54" s="125" t="s">
        <v>377</v>
      </c>
      <c r="E54" s="123" t="s">
        <v>663</v>
      </c>
      <c r="F54" s="151" t="s">
        <v>1</v>
      </c>
      <c r="G54" s="136">
        <v>1000</v>
      </c>
      <c r="H54" s="156">
        <v>0.032326388888888884</v>
      </c>
      <c r="I54" s="136"/>
      <c r="J54" s="136"/>
      <c r="K54" s="134"/>
    </row>
    <row r="55" spans="1:11" ht="15" customHeight="1">
      <c r="A55" s="295"/>
      <c r="B55" s="304"/>
      <c r="C55" s="307"/>
      <c r="D55" s="149" t="s">
        <v>656</v>
      </c>
      <c r="E55" s="123" t="s">
        <v>664</v>
      </c>
      <c r="F55" s="151"/>
      <c r="G55" s="136"/>
      <c r="H55" s="156"/>
      <c r="I55" s="154" t="s">
        <v>3</v>
      </c>
      <c r="J55" s="136">
        <v>1000</v>
      </c>
      <c r="K55" s="138">
        <v>0.03488425925925926</v>
      </c>
    </row>
    <row r="56" spans="1:11" ht="15" customHeight="1">
      <c r="A56" s="295"/>
      <c r="B56" s="304"/>
      <c r="C56" s="307"/>
      <c r="D56" s="125" t="s">
        <v>657</v>
      </c>
      <c r="E56" s="123" t="s">
        <v>665</v>
      </c>
      <c r="F56" s="151" t="s">
        <v>2</v>
      </c>
      <c r="G56" s="136">
        <v>800</v>
      </c>
      <c r="H56" s="156">
        <v>0.028101851851851854</v>
      </c>
      <c r="I56" s="154"/>
      <c r="J56" s="136"/>
      <c r="K56" s="134"/>
    </row>
    <row r="57" spans="1:11" ht="15" customHeight="1">
      <c r="A57" s="295"/>
      <c r="B57" s="304"/>
      <c r="C57" s="307"/>
      <c r="D57" s="149" t="s">
        <v>658</v>
      </c>
      <c r="E57" s="123" t="s">
        <v>666</v>
      </c>
      <c r="F57" s="151"/>
      <c r="G57" s="136"/>
      <c r="H57" s="156"/>
      <c r="I57" s="154" t="s">
        <v>4</v>
      </c>
      <c r="J57" s="136">
        <v>800</v>
      </c>
      <c r="K57" s="19">
        <v>0.02804398148148148</v>
      </c>
    </row>
    <row r="58" spans="1:11" ht="15" customHeight="1">
      <c r="A58" s="295"/>
      <c r="B58" s="304"/>
      <c r="C58" s="307"/>
      <c r="D58" s="125" t="s">
        <v>659</v>
      </c>
      <c r="E58" s="123" t="s">
        <v>667</v>
      </c>
      <c r="F58" s="151" t="s">
        <v>158</v>
      </c>
      <c r="G58" s="136">
        <v>700</v>
      </c>
      <c r="H58" s="142">
        <v>0.02596064814814815</v>
      </c>
      <c r="I58" s="154"/>
      <c r="J58" s="136"/>
      <c r="K58" s="138"/>
    </row>
    <row r="59" spans="1:11" ht="15" customHeight="1">
      <c r="A59" s="295"/>
      <c r="B59" s="304"/>
      <c r="C59" s="307"/>
      <c r="D59" s="143" t="s">
        <v>660</v>
      </c>
      <c r="E59" s="123" t="s">
        <v>668</v>
      </c>
      <c r="F59" s="151" t="s">
        <v>172</v>
      </c>
      <c r="G59" s="136">
        <v>600</v>
      </c>
      <c r="H59" s="142">
        <v>0.027650462962962963</v>
      </c>
      <c r="I59" s="154" t="s">
        <v>159</v>
      </c>
      <c r="J59" s="136">
        <v>700</v>
      </c>
      <c r="K59" s="19">
        <v>0.029305555555555557</v>
      </c>
    </row>
    <row r="60" spans="1:11" ht="15" customHeight="1" thickBot="1">
      <c r="A60" s="296"/>
      <c r="B60" s="304"/>
      <c r="C60" s="307"/>
      <c r="D60" s="145" t="s">
        <v>661</v>
      </c>
      <c r="E60" s="124" t="s">
        <v>669</v>
      </c>
      <c r="F60" s="153" t="s">
        <v>173</v>
      </c>
      <c r="G60" s="140">
        <v>500</v>
      </c>
      <c r="H60" s="146">
        <v>0.012511574074074073</v>
      </c>
      <c r="I60" s="155" t="s">
        <v>174</v>
      </c>
      <c r="J60" s="140">
        <v>600</v>
      </c>
      <c r="K60" s="141">
        <v>0.02677083333333333</v>
      </c>
    </row>
    <row r="61" spans="1:11" ht="15" customHeight="1">
      <c r="A61" s="295">
        <v>12</v>
      </c>
      <c r="B61" s="303" t="s">
        <v>684</v>
      </c>
      <c r="C61" s="306">
        <v>1.05</v>
      </c>
      <c r="D61" s="125" t="s">
        <v>377</v>
      </c>
      <c r="E61" s="132" t="s">
        <v>670</v>
      </c>
      <c r="F61" s="151" t="s">
        <v>1</v>
      </c>
      <c r="G61" s="136">
        <v>1000</v>
      </c>
      <c r="H61" s="156">
        <v>0.04541666666666667</v>
      </c>
      <c r="I61" s="136"/>
      <c r="J61" s="136"/>
      <c r="K61" s="134"/>
    </row>
    <row r="62" spans="1:11" ht="15" customHeight="1">
      <c r="A62" s="295"/>
      <c r="B62" s="304"/>
      <c r="C62" s="307"/>
      <c r="D62" s="149" t="s">
        <v>656</v>
      </c>
      <c r="E62" s="123" t="s">
        <v>671</v>
      </c>
      <c r="F62" s="151"/>
      <c r="G62" s="136"/>
      <c r="H62" s="156"/>
      <c r="I62" s="154" t="s">
        <v>3</v>
      </c>
      <c r="J62" s="136">
        <v>1000</v>
      </c>
      <c r="K62" s="138">
        <v>0.040428240740740744</v>
      </c>
    </row>
    <row r="63" spans="1:11" ht="15" customHeight="1">
      <c r="A63" s="295"/>
      <c r="B63" s="304"/>
      <c r="C63" s="307"/>
      <c r="D63" s="125" t="s">
        <v>657</v>
      </c>
      <c r="E63" s="123" t="s">
        <v>672</v>
      </c>
      <c r="F63" s="151" t="s">
        <v>2</v>
      </c>
      <c r="G63" s="136">
        <v>800</v>
      </c>
      <c r="H63" s="156">
        <v>0.03864583333333333</v>
      </c>
      <c r="I63" s="154"/>
      <c r="J63" s="136"/>
      <c r="K63" s="134"/>
    </row>
    <row r="64" spans="1:11" ht="15" customHeight="1">
      <c r="A64" s="295"/>
      <c r="B64" s="304"/>
      <c r="C64" s="307"/>
      <c r="D64" s="149" t="s">
        <v>662</v>
      </c>
      <c r="E64" s="123" t="s">
        <v>673</v>
      </c>
      <c r="F64" s="151" t="s">
        <v>158</v>
      </c>
      <c r="G64" s="136">
        <v>700</v>
      </c>
      <c r="H64" s="156">
        <v>0.030138888888888885</v>
      </c>
      <c r="I64" s="154" t="s">
        <v>4</v>
      </c>
      <c r="J64" s="136">
        <v>800</v>
      </c>
      <c r="K64" s="19">
        <v>0.034131944444444444</v>
      </c>
    </row>
    <row r="65" spans="1:11" ht="15" customHeight="1">
      <c r="A65" s="295"/>
      <c r="B65" s="304"/>
      <c r="C65" s="307"/>
      <c r="D65" s="143" t="s">
        <v>660</v>
      </c>
      <c r="E65" s="123" t="s">
        <v>674</v>
      </c>
      <c r="F65" s="136" t="s">
        <v>172</v>
      </c>
      <c r="G65" s="136">
        <v>600</v>
      </c>
      <c r="H65" s="142">
        <v>0.02460648148148148</v>
      </c>
      <c r="I65" s="154" t="s">
        <v>159</v>
      </c>
      <c r="J65" s="136">
        <v>700</v>
      </c>
      <c r="K65" s="19">
        <v>0.027291666666666662</v>
      </c>
    </row>
    <row r="66" spans="1:11" ht="15" customHeight="1" thickBot="1">
      <c r="A66" s="296"/>
      <c r="B66" s="304"/>
      <c r="C66" s="307"/>
      <c r="D66" s="145" t="s">
        <v>661</v>
      </c>
      <c r="E66" s="124" t="s">
        <v>675</v>
      </c>
      <c r="F66" s="140" t="s">
        <v>173</v>
      </c>
      <c r="G66" s="140">
        <v>500</v>
      </c>
      <c r="H66" s="146">
        <v>0.010034722222222221</v>
      </c>
      <c r="I66" s="155" t="s">
        <v>174</v>
      </c>
      <c r="J66" s="140">
        <v>600</v>
      </c>
      <c r="K66" s="141">
        <v>0.015000000000000001</v>
      </c>
    </row>
    <row r="67" spans="1:11" ht="15" customHeight="1">
      <c r="A67" s="295">
        <v>13</v>
      </c>
      <c r="B67" s="303" t="s">
        <v>690</v>
      </c>
      <c r="C67" s="306">
        <v>1</v>
      </c>
      <c r="D67" s="159" t="s">
        <v>700</v>
      </c>
      <c r="E67" s="123" t="s">
        <v>696</v>
      </c>
      <c r="F67" s="162" t="s">
        <v>1</v>
      </c>
      <c r="G67" s="136">
        <v>1000</v>
      </c>
      <c r="H67" s="142">
        <v>0.024560185185185185</v>
      </c>
      <c r="I67" s="154"/>
      <c r="J67" s="136"/>
      <c r="K67" s="134"/>
    </row>
    <row r="68" spans="1:11" ht="15" customHeight="1">
      <c r="A68" s="295"/>
      <c r="B68" s="304"/>
      <c r="C68" s="307"/>
      <c r="D68" s="157" t="s">
        <v>736</v>
      </c>
      <c r="E68" s="123" t="s">
        <v>697</v>
      </c>
      <c r="F68" s="162" t="s">
        <v>2</v>
      </c>
      <c r="G68" s="136">
        <v>800</v>
      </c>
      <c r="H68" s="142">
        <v>0.028993055555555553</v>
      </c>
      <c r="I68" s="154" t="s">
        <v>3</v>
      </c>
      <c r="J68" s="136">
        <v>1000</v>
      </c>
      <c r="K68" s="138">
        <v>0.02871527777777778</v>
      </c>
    </row>
    <row r="69" spans="1:11" ht="15" customHeight="1">
      <c r="A69" s="295"/>
      <c r="B69" s="304"/>
      <c r="C69" s="307"/>
      <c r="D69" s="159" t="s">
        <v>701</v>
      </c>
      <c r="E69" s="123" t="s">
        <v>698</v>
      </c>
      <c r="F69" s="162" t="s">
        <v>158</v>
      </c>
      <c r="G69" s="136">
        <v>700</v>
      </c>
      <c r="H69" s="142">
        <v>0.024710648148148148</v>
      </c>
      <c r="I69" s="154"/>
      <c r="J69" s="136"/>
      <c r="K69" s="134"/>
    </row>
    <row r="70" spans="1:11" ht="15" customHeight="1" thickBot="1">
      <c r="A70" s="296"/>
      <c r="B70" s="305"/>
      <c r="C70" s="308"/>
      <c r="D70" s="158" t="s">
        <v>702</v>
      </c>
      <c r="E70" s="124" t="s">
        <v>699</v>
      </c>
      <c r="F70" s="163"/>
      <c r="G70" s="140"/>
      <c r="H70" s="146"/>
      <c r="I70" s="155" t="s">
        <v>4</v>
      </c>
      <c r="J70" s="140">
        <v>800</v>
      </c>
      <c r="K70" s="141">
        <v>0.026296296296296293</v>
      </c>
    </row>
    <row r="71" spans="1:11" ht="15" customHeight="1">
      <c r="A71" s="295">
        <v>14</v>
      </c>
      <c r="B71" s="303" t="s">
        <v>691</v>
      </c>
      <c r="C71" s="306">
        <v>1</v>
      </c>
      <c r="D71" s="159" t="s">
        <v>700</v>
      </c>
      <c r="E71" s="123" t="s">
        <v>703</v>
      </c>
      <c r="F71" s="162" t="s">
        <v>1</v>
      </c>
      <c r="G71" s="136">
        <v>1000</v>
      </c>
      <c r="H71" s="142">
        <v>0.009849537037037037</v>
      </c>
      <c r="I71" s="154"/>
      <c r="J71" s="136"/>
      <c r="K71" s="134"/>
    </row>
    <row r="72" spans="1:11" ht="15" customHeight="1">
      <c r="A72" s="295"/>
      <c r="B72" s="304"/>
      <c r="C72" s="307"/>
      <c r="D72" s="157" t="s">
        <v>736</v>
      </c>
      <c r="E72" s="123" t="s">
        <v>704</v>
      </c>
      <c r="F72" s="162" t="s">
        <v>2</v>
      </c>
      <c r="G72" s="136">
        <v>800</v>
      </c>
      <c r="H72" s="142">
        <v>0.011782407407407406</v>
      </c>
      <c r="I72" s="154" t="s">
        <v>3</v>
      </c>
      <c r="J72" s="136">
        <v>1000</v>
      </c>
      <c r="K72" s="138">
        <v>0.011354166666666667</v>
      </c>
    </row>
    <row r="73" spans="1:11" ht="15" customHeight="1">
      <c r="A73" s="295"/>
      <c r="B73" s="304"/>
      <c r="C73" s="307"/>
      <c r="D73" s="159" t="s">
        <v>701</v>
      </c>
      <c r="E73" s="123" t="s">
        <v>705</v>
      </c>
      <c r="F73" s="162" t="s">
        <v>158</v>
      </c>
      <c r="G73" s="136">
        <v>700</v>
      </c>
      <c r="H73" s="142">
        <v>0.011064814814814814</v>
      </c>
      <c r="I73" s="154"/>
      <c r="J73" s="136"/>
      <c r="K73" s="134"/>
    </row>
    <row r="74" spans="1:11" ht="15" customHeight="1" thickBot="1">
      <c r="A74" s="296"/>
      <c r="B74" s="305"/>
      <c r="C74" s="308"/>
      <c r="D74" s="158" t="s">
        <v>702</v>
      </c>
      <c r="E74" s="124" t="s">
        <v>706</v>
      </c>
      <c r="F74" s="163"/>
      <c r="G74" s="140"/>
      <c r="H74" s="133"/>
      <c r="I74" s="155" t="s">
        <v>4</v>
      </c>
      <c r="J74" s="140">
        <v>800</v>
      </c>
      <c r="K74" s="141">
        <v>0.010752314814814814</v>
      </c>
    </row>
    <row r="75" spans="1:11" ht="15" customHeight="1">
      <c r="A75" s="309">
        <v>15</v>
      </c>
      <c r="B75" s="303" t="s">
        <v>692</v>
      </c>
      <c r="C75" s="306">
        <v>1</v>
      </c>
      <c r="D75" s="159" t="s">
        <v>700</v>
      </c>
      <c r="E75" s="123" t="s">
        <v>707</v>
      </c>
      <c r="F75" s="162" t="s">
        <v>1</v>
      </c>
      <c r="G75" s="136">
        <v>1000</v>
      </c>
      <c r="H75" s="142">
        <v>0.05216435185185186</v>
      </c>
      <c r="I75" s="154"/>
      <c r="J75" s="136"/>
      <c r="K75" s="134"/>
    </row>
    <row r="76" spans="1:11" ht="15" customHeight="1">
      <c r="A76" s="295"/>
      <c r="B76" s="304"/>
      <c r="C76" s="307"/>
      <c r="D76" s="157" t="s">
        <v>736</v>
      </c>
      <c r="E76" s="123" t="s">
        <v>708</v>
      </c>
      <c r="F76" s="162" t="s">
        <v>2</v>
      </c>
      <c r="G76" s="136">
        <v>800</v>
      </c>
      <c r="H76" s="142">
        <v>0.05331018518518518</v>
      </c>
      <c r="I76" s="154" t="s">
        <v>3</v>
      </c>
      <c r="J76" s="136">
        <v>1000</v>
      </c>
      <c r="K76" s="138">
        <v>0.0499537037037037</v>
      </c>
    </row>
    <row r="77" spans="1:11" ht="15" customHeight="1">
      <c r="A77" s="295"/>
      <c r="B77" s="304"/>
      <c r="C77" s="307"/>
      <c r="D77" s="159" t="s">
        <v>701</v>
      </c>
      <c r="E77" s="123" t="s">
        <v>709</v>
      </c>
      <c r="F77" s="162" t="s">
        <v>158</v>
      </c>
      <c r="G77" s="136">
        <v>700</v>
      </c>
      <c r="H77" s="142">
        <v>0.03570601851851852</v>
      </c>
      <c r="I77" s="154"/>
      <c r="J77" s="136"/>
      <c r="K77" s="138"/>
    </row>
    <row r="78" spans="1:11" ht="15" customHeight="1" thickBot="1">
      <c r="A78" s="296"/>
      <c r="B78" s="304"/>
      <c r="C78" s="307"/>
      <c r="D78" s="158" t="s">
        <v>702</v>
      </c>
      <c r="E78" s="124" t="s">
        <v>710</v>
      </c>
      <c r="F78" s="163"/>
      <c r="G78" s="140"/>
      <c r="H78" s="146"/>
      <c r="I78" s="155" t="s">
        <v>4</v>
      </c>
      <c r="J78" s="140">
        <v>800</v>
      </c>
      <c r="K78" s="141">
        <v>0.04109953703703704</v>
      </c>
    </row>
    <row r="79" spans="1:14" ht="15" customHeight="1">
      <c r="A79" s="309">
        <v>16</v>
      </c>
      <c r="B79" s="303" t="s">
        <v>693</v>
      </c>
      <c r="C79" s="306">
        <v>1</v>
      </c>
      <c r="D79" s="159" t="s">
        <v>700</v>
      </c>
      <c r="E79" s="123" t="s">
        <v>711</v>
      </c>
      <c r="F79" s="162" t="s">
        <v>1</v>
      </c>
      <c r="G79" s="136">
        <v>1000</v>
      </c>
      <c r="H79" s="142">
        <v>0.032962962962962965</v>
      </c>
      <c r="I79" s="154"/>
      <c r="J79" s="136"/>
      <c r="K79" s="134"/>
      <c r="M79" s="86"/>
      <c r="N79" s="86"/>
    </row>
    <row r="80" spans="1:14" ht="15" customHeight="1">
      <c r="A80" s="295"/>
      <c r="B80" s="304"/>
      <c r="C80" s="307"/>
      <c r="D80" s="157" t="s">
        <v>736</v>
      </c>
      <c r="E80" s="123" t="s">
        <v>712</v>
      </c>
      <c r="F80" s="162" t="s">
        <v>2</v>
      </c>
      <c r="G80" s="136">
        <v>800</v>
      </c>
      <c r="H80" s="142">
        <v>0.035208333333333335</v>
      </c>
      <c r="I80" s="154" t="s">
        <v>3</v>
      </c>
      <c r="J80" s="136">
        <v>1000</v>
      </c>
      <c r="K80" s="138">
        <v>0.03236111111111111</v>
      </c>
      <c r="M80" s="86"/>
      <c r="N80" s="86"/>
    </row>
    <row r="81" spans="1:16" ht="15" customHeight="1">
      <c r="A81" s="295"/>
      <c r="B81" s="304"/>
      <c r="C81" s="307"/>
      <c r="D81" s="159" t="s">
        <v>701</v>
      </c>
      <c r="E81" s="123" t="s">
        <v>713</v>
      </c>
      <c r="F81" s="162" t="s">
        <v>158</v>
      </c>
      <c r="G81" s="136">
        <v>700</v>
      </c>
      <c r="H81" s="142">
        <v>0.024224537037037034</v>
      </c>
      <c r="I81" s="154"/>
      <c r="J81" s="136"/>
      <c r="K81" s="138"/>
      <c r="M81" s="86"/>
      <c r="N81" s="86"/>
      <c r="P81" s="86"/>
    </row>
    <row r="82" spans="1:11" ht="15" customHeight="1" thickBot="1">
      <c r="A82" s="296"/>
      <c r="B82" s="304"/>
      <c r="C82" s="307"/>
      <c r="D82" s="158" t="s">
        <v>702</v>
      </c>
      <c r="E82" s="124" t="s">
        <v>714</v>
      </c>
      <c r="F82" s="163"/>
      <c r="G82" s="140"/>
      <c r="H82" s="146"/>
      <c r="I82" s="155" t="s">
        <v>4</v>
      </c>
      <c r="J82" s="140">
        <v>800</v>
      </c>
      <c r="K82" s="141">
        <v>0.026875</v>
      </c>
    </row>
    <row r="83" spans="1:11" ht="15" customHeight="1">
      <c r="A83" s="295">
        <v>17</v>
      </c>
      <c r="B83" s="303" t="s">
        <v>694</v>
      </c>
      <c r="C83" s="306">
        <v>1.05</v>
      </c>
      <c r="D83" s="160" t="s">
        <v>237</v>
      </c>
      <c r="E83" s="123" t="s">
        <v>715</v>
      </c>
      <c r="F83" s="162" t="s">
        <v>1</v>
      </c>
      <c r="G83" s="136">
        <v>1000</v>
      </c>
      <c r="H83" s="142">
        <v>0.036909722222222226</v>
      </c>
      <c r="I83" s="154"/>
      <c r="J83" s="136"/>
      <c r="K83" s="134"/>
    </row>
    <row r="84" spans="1:11" ht="15" customHeight="1">
      <c r="A84" s="295"/>
      <c r="B84" s="304"/>
      <c r="C84" s="307"/>
      <c r="D84" s="160" t="s">
        <v>633</v>
      </c>
      <c r="E84" s="123" t="s">
        <v>716</v>
      </c>
      <c r="F84" s="162" t="s">
        <v>2</v>
      </c>
      <c r="G84" s="168">
        <v>800</v>
      </c>
      <c r="H84" s="142"/>
      <c r="K84" s="138"/>
    </row>
    <row r="85" spans="1:11" ht="15" customHeight="1">
      <c r="A85" s="295"/>
      <c r="B85" s="304"/>
      <c r="C85" s="307"/>
      <c r="D85" s="160" t="s">
        <v>727</v>
      </c>
      <c r="E85" s="123" t="s">
        <v>717</v>
      </c>
      <c r="F85" s="162" t="s">
        <v>158</v>
      </c>
      <c r="G85" s="168">
        <v>700</v>
      </c>
      <c r="H85" s="142"/>
      <c r="I85" s="154" t="s">
        <v>3</v>
      </c>
      <c r="J85" s="136">
        <v>1000</v>
      </c>
      <c r="K85" s="138">
        <v>0.03408564814814815</v>
      </c>
    </row>
    <row r="86" spans="1:11" ht="15" customHeight="1">
      <c r="A86" s="295"/>
      <c r="B86" s="304"/>
      <c r="C86" s="307"/>
      <c r="D86" s="160" t="s">
        <v>728</v>
      </c>
      <c r="E86" s="123" t="s">
        <v>718</v>
      </c>
      <c r="F86" s="162" t="s">
        <v>172</v>
      </c>
      <c r="G86" s="136">
        <v>600</v>
      </c>
      <c r="H86" s="142">
        <v>0.030763888888888886</v>
      </c>
      <c r="I86" s="154" t="s">
        <v>4</v>
      </c>
      <c r="J86" s="136">
        <v>800</v>
      </c>
      <c r="K86" s="138">
        <v>0.0344212962962963</v>
      </c>
    </row>
    <row r="87" spans="1:11" ht="15" customHeight="1">
      <c r="A87" s="295"/>
      <c r="B87" s="304"/>
      <c r="C87" s="307"/>
      <c r="D87" s="160" t="s">
        <v>729</v>
      </c>
      <c r="E87" s="123" t="s">
        <v>719</v>
      </c>
      <c r="F87" s="162" t="s">
        <v>173</v>
      </c>
      <c r="G87" s="168">
        <v>500</v>
      </c>
      <c r="H87" s="156"/>
      <c r="I87" s="154" t="s">
        <v>159</v>
      </c>
      <c r="J87" s="136">
        <v>700</v>
      </c>
      <c r="K87" s="138">
        <v>0.02957175925925926</v>
      </c>
    </row>
    <row r="88" spans="1:11" ht="15" customHeight="1" thickBot="1">
      <c r="A88" s="296"/>
      <c r="B88" s="305"/>
      <c r="C88" s="308"/>
      <c r="D88" s="158" t="s">
        <v>689</v>
      </c>
      <c r="E88" s="124" t="s">
        <v>720</v>
      </c>
      <c r="F88" s="163"/>
      <c r="G88" s="140"/>
      <c r="H88" s="133"/>
      <c r="I88" s="155" t="s">
        <v>174</v>
      </c>
      <c r="J88" s="169">
        <v>600</v>
      </c>
      <c r="K88" s="141"/>
    </row>
    <row r="89" spans="1:11" ht="15" customHeight="1">
      <c r="A89" s="295">
        <v>18</v>
      </c>
      <c r="B89" s="303" t="s">
        <v>695</v>
      </c>
      <c r="C89" s="306">
        <v>1.05</v>
      </c>
      <c r="D89" s="160" t="s">
        <v>237</v>
      </c>
      <c r="E89" s="123" t="s">
        <v>721</v>
      </c>
      <c r="F89" s="162" t="s">
        <v>1</v>
      </c>
      <c r="G89" s="136">
        <v>1000</v>
      </c>
      <c r="H89" s="161">
        <v>0.07099537037037036</v>
      </c>
      <c r="I89" s="164"/>
      <c r="J89" s="165"/>
      <c r="K89" s="166"/>
    </row>
    <row r="90" spans="1:12" ht="15" customHeight="1">
      <c r="A90" s="295"/>
      <c r="B90" s="304"/>
      <c r="C90" s="307"/>
      <c r="D90" s="160" t="s">
        <v>633</v>
      </c>
      <c r="E90" s="123" t="s">
        <v>722</v>
      </c>
      <c r="F90" s="162" t="s">
        <v>2</v>
      </c>
      <c r="G90" s="168">
        <v>800</v>
      </c>
      <c r="H90" s="142"/>
      <c r="I90" s="167"/>
      <c r="J90" s="136"/>
      <c r="K90" s="138"/>
      <c r="L90" s="86"/>
    </row>
    <row r="91" spans="1:12" ht="15" customHeight="1">
      <c r="A91" s="295"/>
      <c r="B91" s="304"/>
      <c r="C91" s="307"/>
      <c r="D91" s="160" t="s">
        <v>727</v>
      </c>
      <c r="E91" s="123" t="s">
        <v>723</v>
      </c>
      <c r="F91" s="162" t="s">
        <v>158</v>
      </c>
      <c r="G91" s="168">
        <v>700</v>
      </c>
      <c r="H91" s="142"/>
      <c r="I91" s="154" t="s">
        <v>3</v>
      </c>
      <c r="J91" s="136">
        <v>1000</v>
      </c>
      <c r="K91" s="138">
        <v>0.062349537037037044</v>
      </c>
      <c r="L91" s="86"/>
    </row>
    <row r="92" spans="1:11" ht="15" customHeight="1">
      <c r="A92" s="295"/>
      <c r="B92" s="304"/>
      <c r="C92" s="307"/>
      <c r="D92" s="160" t="s">
        <v>728</v>
      </c>
      <c r="E92" s="123" t="s">
        <v>724</v>
      </c>
      <c r="F92" s="162" t="s">
        <v>172</v>
      </c>
      <c r="G92" s="136">
        <v>600</v>
      </c>
      <c r="H92" s="142">
        <v>0.045613425925925925</v>
      </c>
      <c r="I92" s="154" t="s">
        <v>4</v>
      </c>
      <c r="J92" s="136">
        <v>800</v>
      </c>
      <c r="K92" s="138">
        <v>0.04954861111111111</v>
      </c>
    </row>
    <row r="93" spans="1:11" ht="15" customHeight="1">
      <c r="A93" s="295"/>
      <c r="B93" s="304"/>
      <c r="C93" s="307"/>
      <c r="D93" s="160" t="s">
        <v>729</v>
      </c>
      <c r="E93" s="123" t="s">
        <v>725</v>
      </c>
      <c r="F93" s="162" t="s">
        <v>173</v>
      </c>
      <c r="G93" s="168">
        <v>500</v>
      </c>
      <c r="H93" s="156"/>
      <c r="I93" s="154" t="s">
        <v>159</v>
      </c>
      <c r="J93" s="136">
        <v>700</v>
      </c>
      <c r="K93" s="138">
        <v>0.043645833333333335</v>
      </c>
    </row>
    <row r="94" spans="1:11" ht="15" customHeight="1" thickBot="1">
      <c r="A94" s="296"/>
      <c r="B94" s="305"/>
      <c r="C94" s="308"/>
      <c r="D94" s="158" t="s">
        <v>689</v>
      </c>
      <c r="E94" s="124" t="s">
        <v>726</v>
      </c>
      <c r="F94" s="163"/>
      <c r="G94" s="140"/>
      <c r="H94" s="133"/>
      <c r="I94" s="155" t="s">
        <v>174</v>
      </c>
      <c r="J94" s="169">
        <v>600</v>
      </c>
      <c r="K94" s="141"/>
    </row>
    <row r="95" spans="1:11" ht="15" customHeight="1" thickBot="1">
      <c r="A95" s="170">
        <v>19</v>
      </c>
      <c r="B95" s="171" t="s">
        <v>763</v>
      </c>
      <c r="C95" s="172"/>
      <c r="D95" s="292" t="s">
        <v>764</v>
      </c>
      <c r="E95" s="293"/>
      <c r="F95" s="293"/>
      <c r="G95" s="293"/>
      <c r="H95" s="293"/>
      <c r="I95" s="293"/>
      <c r="J95" s="293"/>
      <c r="K95" s="294"/>
    </row>
    <row r="96" spans="1:11" ht="15" customHeight="1">
      <c r="A96" s="295">
        <v>20</v>
      </c>
      <c r="B96" s="297" t="s">
        <v>765</v>
      </c>
      <c r="C96" s="300">
        <v>1.1</v>
      </c>
      <c r="D96" s="160" t="s">
        <v>771</v>
      </c>
      <c r="E96" s="177" t="s">
        <v>766</v>
      </c>
      <c r="F96" s="162" t="s">
        <v>1</v>
      </c>
      <c r="G96" s="178">
        <v>1000</v>
      </c>
      <c r="H96" s="179">
        <v>0.03577546296296296</v>
      </c>
      <c r="I96" s="178"/>
      <c r="J96" s="178"/>
      <c r="K96" s="35"/>
    </row>
    <row r="97" spans="1:11" ht="15" customHeight="1">
      <c r="A97" s="295"/>
      <c r="B97" s="298"/>
      <c r="C97" s="301"/>
      <c r="D97" s="177" t="s">
        <v>773</v>
      </c>
      <c r="E97" s="177" t="s">
        <v>767</v>
      </c>
      <c r="F97" s="162" t="s">
        <v>2</v>
      </c>
      <c r="G97" s="178">
        <v>800</v>
      </c>
      <c r="H97" s="180">
        <v>0.03560185185185185</v>
      </c>
      <c r="I97" s="154" t="s">
        <v>3</v>
      </c>
      <c r="J97" s="178">
        <v>1000</v>
      </c>
      <c r="K97" s="181">
        <v>0.03579861111111111</v>
      </c>
    </row>
    <row r="98" spans="1:11" ht="15" customHeight="1">
      <c r="A98" s="295"/>
      <c r="B98" s="298"/>
      <c r="C98" s="301"/>
      <c r="D98" s="177" t="s">
        <v>774</v>
      </c>
      <c r="E98" s="177" t="s">
        <v>768</v>
      </c>
      <c r="F98" s="162" t="s">
        <v>158</v>
      </c>
      <c r="G98" s="178">
        <v>700</v>
      </c>
      <c r="H98" s="180">
        <v>0.03711805555555556</v>
      </c>
      <c r="I98" s="154" t="s">
        <v>4</v>
      </c>
      <c r="J98" s="178">
        <v>800</v>
      </c>
      <c r="K98" s="181">
        <v>0.03451388888888889</v>
      </c>
    </row>
    <row r="99" spans="1:11" ht="15" customHeight="1">
      <c r="A99" s="295"/>
      <c r="B99" s="298"/>
      <c r="C99" s="301"/>
      <c r="D99" s="149" t="s">
        <v>772</v>
      </c>
      <c r="E99" s="177" t="s">
        <v>769</v>
      </c>
      <c r="F99" s="162"/>
      <c r="G99" s="178"/>
      <c r="H99" s="180"/>
      <c r="I99" s="154" t="s">
        <v>159</v>
      </c>
      <c r="J99" s="178">
        <f>700*0.9</f>
        <v>630</v>
      </c>
      <c r="K99" s="181">
        <v>0.042847222222222224</v>
      </c>
    </row>
    <row r="100" spans="1:11" ht="15" customHeight="1" thickBot="1">
      <c r="A100" s="296"/>
      <c r="B100" s="299"/>
      <c r="C100" s="302"/>
      <c r="D100" s="173" t="s">
        <v>775</v>
      </c>
      <c r="E100" s="173" t="s">
        <v>770</v>
      </c>
      <c r="F100" s="182" t="s">
        <v>172</v>
      </c>
      <c r="G100" s="174">
        <v>600</v>
      </c>
      <c r="H100" s="175">
        <v>0.028125</v>
      </c>
      <c r="I100" s="155" t="s">
        <v>174</v>
      </c>
      <c r="J100" s="174">
        <v>600</v>
      </c>
      <c r="K100" s="176">
        <v>0.06070601851851851</v>
      </c>
    </row>
    <row r="101" spans="1:11" ht="15" customHeight="1">
      <c r="A101" s="295">
        <v>21</v>
      </c>
      <c r="B101" s="297" t="s">
        <v>793</v>
      </c>
      <c r="C101" s="300">
        <v>1</v>
      </c>
      <c r="D101" s="160" t="s">
        <v>237</v>
      </c>
      <c r="E101" s="177" t="s">
        <v>830</v>
      </c>
      <c r="F101" s="162" t="s">
        <v>1</v>
      </c>
      <c r="G101" s="178">
        <v>1000</v>
      </c>
      <c r="H101" s="179">
        <v>0.013194444444444444</v>
      </c>
      <c r="I101" s="178"/>
      <c r="J101" s="178"/>
      <c r="K101" s="35"/>
    </row>
    <row r="102" spans="1:11" ht="15" customHeight="1">
      <c r="A102" s="295"/>
      <c r="B102" s="298"/>
      <c r="C102" s="301"/>
      <c r="D102" s="177" t="s">
        <v>798</v>
      </c>
      <c r="E102" s="177" t="s">
        <v>680</v>
      </c>
      <c r="F102" s="162" t="s">
        <v>2</v>
      </c>
      <c r="G102" s="178">
        <v>800</v>
      </c>
      <c r="H102" s="180">
        <v>0.009710648148148147</v>
      </c>
      <c r="I102" s="154" t="s">
        <v>3</v>
      </c>
      <c r="J102" s="178">
        <v>1000</v>
      </c>
      <c r="K102" s="181">
        <v>0.011932870370370371</v>
      </c>
    </row>
    <row r="103" spans="1:11" ht="15" customHeight="1">
      <c r="A103" s="295"/>
      <c r="B103" s="298"/>
      <c r="C103" s="301"/>
      <c r="D103" s="177" t="s">
        <v>831</v>
      </c>
      <c r="E103" s="177" t="s">
        <v>829</v>
      </c>
      <c r="F103" s="162" t="s">
        <v>158</v>
      </c>
      <c r="G103" s="178">
        <v>700</v>
      </c>
      <c r="H103" s="180">
        <v>0.009027777777777779</v>
      </c>
      <c r="I103" s="154" t="s">
        <v>4</v>
      </c>
      <c r="J103" s="178">
        <v>800</v>
      </c>
      <c r="K103" s="181">
        <v>0.010486111111111111</v>
      </c>
    </row>
    <row r="104" spans="1:11" ht="1.5" customHeight="1" thickBot="1">
      <c r="A104" s="296"/>
      <c r="B104" s="299"/>
      <c r="C104" s="302"/>
      <c r="D104" s="173"/>
      <c r="E104" s="173"/>
      <c r="F104" s="182"/>
      <c r="G104" s="174"/>
      <c r="H104" s="175"/>
      <c r="I104" s="155"/>
      <c r="J104" s="174"/>
      <c r="K104" s="176"/>
    </row>
    <row r="105" spans="1:11" ht="15" customHeight="1">
      <c r="A105" s="295">
        <v>22</v>
      </c>
      <c r="B105" s="297" t="s">
        <v>796</v>
      </c>
      <c r="C105" s="300">
        <v>1</v>
      </c>
      <c r="D105" s="160" t="s">
        <v>237</v>
      </c>
      <c r="E105" s="177" t="s">
        <v>797</v>
      </c>
      <c r="F105" s="162" t="s">
        <v>1</v>
      </c>
      <c r="G105" s="178">
        <v>1000</v>
      </c>
      <c r="H105" s="179">
        <v>0.05643518518518518</v>
      </c>
      <c r="I105" s="178"/>
      <c r="J105" s="178"/>
      <c r="K105" s="35"/>
    </row>
    <row r="106" spans="1:11" ht="15" customHeight="1">
      <c r="A106" s="295"/>
      <c r="B106" s="298"/>
      <c r="C106" s="301"/>
      <c r="D106" s="177" t="s">
        <v>798</v>
      </c>
      <c r="E106" s="177" t="s">
        <v>827</v>
      </c>
      <c r="F106" s="162" t="s">
        <v>2</v>
      </c>
      <c r="G106" s="178">
        <v>800</v>
      </c>
      <c r="H106" s="180">
        <v>0.040949074074074075</v>
      </c>
      <c r="I106" s="154" t="s">
        <v>3</v>
      </c>
      <c r="J106" s="178">
        <v>1000</v>
      </c>
      <c r="K106" s="181">
        <v>0.04539351851851852</v>
      </c>
    </row>
    <row r="107" spans="1:11" ht="15" customHeight="1">
      <c r="A107" s="295"/>
      <c r="B107" s="298"/>
      <c r="C107" s="301"/>
      <c r="D107" s="177" t="s">
        <v>794</v>
      </c>
      <c r="E107" s="177" t="s">
        <v>826</v>
      </c>
      <c r="F107" s="162" t="s">
        <v>158</v>
      </c>
      <c r="G107" s="178">
        <v>700</v>
      </c>
      <c r="H107" s="180">
        <v>0.04168981481481482</v>
      </c>
      <c r="I107" s="154" t="s">
        <v>4</v>
      </c>
      <c r="J107" s="178">
        <v>800</v>
      </c>
      <c r="K107" s="181">
        <v>0.04979166666666667</v>
      </c>
    </row>
    <row r="108" spans="1:11" ht="15" customHeight="1" thickBot="1">
      <c r="A108" s="296"/>
      <c r="B108" s="299"/>
      <c r="C108" s="302"/>
      <c r="D108" s="173" t="s">
        <v>795</v>
      </c>
      <c r="E108" s="173" t="s">
        <v>828</v>
      </c>
      <c r="F108" s="182" t="s">
        <v>172</v>
      </c>
      <c r="G108" s="174">
        <f>600*0.9</f>
        <v>540</v>
      </c>
      <c r="H108" s="120" t="s">
        <v>685</v>
      </c>
      <c r="I108" s="155" t="s">
        <v>159</v>
      </c>
      <c r="J108" s="174">
        <v>700</v>
      </c>
      <c r="K108" s="176">
        <v>0.054664351851851846</v>
      </c>
    </row>
    <row r="109" spans="1:11" ht="15" customHeight="1">
      <c r="A109" s="330">
        <v>23</v>
      </c>
      <c r="B109" s="297" t="s">
        <v>834</v>
      </c>
      <c r="C109" s="300">
        <v>1</v>
      </c>
      <c r="D109" s="185" t="s">
        <v>839</v>
      </c>
      <c r="E109" s="177" t="s">
        <v>840</v>
      </c>
      <c r="F109" s="151" t="s">
        <v>1</v>
      </c>
      <c r="G109" s="178">
        <v>1000</v>
      </c>
      <c r="H109" s="179">
        <v>0.03363425925925926</v>
      </c>
      <c r="I109" s="178"/>
      <c r="J109" s="178"/>
      <c r="K109" s="35"/>
    </row>
    <row r="110" spans="1:11" ht="15" customHeight="1">
      <c r="A110" s="330"/>
      <c r="B110" s="298"/>
      <c r="C110" s="301"/>
      <c r="D110" s="177" t="s">
        <v>850</v>
      </c>
      <c r="E110" s="177" t="s">
        <v>842</v>
      </c>
      <c r="F110" s="151" t="s">
        <v>2</v>
      </c>
      <c r="G110" s="178">
        <v>800</v>
      </c>
      <c r="H110" s="180">
        <v>0.036875</v>
      </c>
      <c r="I110" s="154" t="s">
        <v>3</v>
      </c>
      <c r="J110" s="178">
        <v>1000</v>
      </c>
      <c r="K110" s="181">
        <v>0.03045138888888889</v>
      </c>
    </row>
    <row r="111" spans="1:11" ht="15" customHeight="1">
      <c r="A111" s="330"/>
      <c r="B111" s="298"/>
      <c r="C111" s="301"/>
      <c r="D111" s="187" t="s">
        <v>844</v>
      </c>
      <c r="E111" s="177" t="s">
        <v>846</v>
      </c>
      <c r="F111" s="151"/>
      <c r="G111" s="178"/>
      <c r="H111" s="180"/>
      <c r="I111" s="154" t="s">
        <v>4</v>
      </c>
      <c r="J111" s="178">
        <f>800*0.9</f>
        <v>720</v>
      </c>
      <c r="K111" s="181">
        <v>0.047233796296296295</v>
      </c>
    </row>
    <row r="112" spans="1:11" ht="15" customHeight="1" thickBot="1">
      <c r="A112" s="331"/>
      <c r="B112" s="299"/>
      <c r="C112" s="302"/>
      <c r="D112" s="186" t="s">
        <v>845</v>
      </c>
      <c r="E112" s="184" t="s">
        <v>847</v>
      </c>
      <c r="F112" s="152" t="s">
        <v>158</v>
      </c>
      <c r="G112" s="174">
        <v>700</v>
      </c>
      <c r="H112" s="175">
        <v>0.03568287037037037</v>
      </c>
      <c r="I112" s="174"/>
      <c r="J112" s="174"/>
      <c r="K112" s="176"/>
    </row>
    <row r="113" spans="1:11" ht="15" customHeight="1">
      <c r="A113" s="330">
        <v>24</v>
      </c>
      <c r="B113" s="297" t="s">
        <v>838</v>
      </c>
      <c r="C113" s="300">
        <v>1</v>
      </c>
      <c r="D113" s="185" t="s">
        <v>839</v>
      </c>
      <c r="E113" s="177" t="s">
        <v>841</v>
      </c>
      <c r="F113" s="151" t="s">
        <v>1</v>
      </c>
      <c r="G113" s="178">
        <v>1000</v>
      </c>
      <c r="H113" s="179">
        <v>0.01392361111111111</v>
      </c>
      <c r="I113" s="178"/>
      <c r="J113" s="178"/>
      <c r="K113" s="35"/>
    </row>
    <row r="114" spans="1:11" ht="15" customHeight="1">
      <c r="A114" s="330"/>
      <c r="B114" s="298"/>
      <c r="C114" s="301"/>
      <c r="D114" s="177" t="s">
        <v>850</v>
      </c>
      <c r="E114" s="183" t="s">
        <v>843</v>
      </c>
      <c r="F114" s="151" t="s">
        <v>2</v>
      </c>
      <c r="G114" s="178">
        <v>800</v>
      </c>
      <c r="H114" s="180">
        <v>0.01570601851851852</v>
      </c>
      <c r="I114" s="154" t="s">
        <v>3</v>
      </c>
      <c r="J114" s="178">
        <v>1000</v>
      </c>
      <c r="K114" s="181">
        <v>0.014409722222222221</v>
      </c>
    </row>
    <row r="115" spans="1:11" ht="15" customHeight="1">
      <c r="A115" s="330"/>
      <c r="B115" s="298"/>
      <c r="C115" s="301"/>
      <c r="D115" s="187" t="s">
        <v>844</v>
      </c>
      <c r="E115" s="177" t="s">
        <v>848</v>
      </c>
      <c r="F115" s="151"/>
      <c r="G115" s="178"/>
      <c r="H115" s="180"/>
      <c r="I115" s="154" t="s">
        <v>4</v>
      </c>
      <c r="J115" s="178">
        <f>800*0.9</f>
        <v>720</v>
      </c>
      <c r="K115" s="181">
        <v>0.021504629629629627</v>
      </c>
    </row>
    <row r="116" spans="1:11" ht="15" customHeight="1" thickBot="1">
      <c r="A116" s="331"/>
      <c r="B116" s="299"/>
      <c r="C116" s="302"/>
      <c r="D116" s="186" t="s">
        <v>845</v>
      </c>
      <c r="E116" s="173" t="s">
        <v>849</v>
      </c>
      <c r="F116" s="152" t="s">
        <v>158</v>
      </c>
      <c r="G116" s="174">
        <v>700</v>
      </c>
      <c r="H116" s="175">
        <v>0.010243055555555556</v>
      </c>
      <c r="I116" s="174"/>
      <c r="J116" s="174"/>
      <c r="K116" s="176"/>
    </row>
    <row r="117" spans="1:11" ht="15" customHeight="1">
      <c r="A117" s="330">
        <v>25</v>
      </c>
      <c r="B117" s="297" t="s">
        <v>859</v>
      </c>
      <c r="C117" s="300">
        <v>1</v>
      </c>
      <c r="D117" s="125" t="s">
        <v>443</v>
      </c>
      <c r="E117" s="177" t="s">
        <v>862</v>
      </c>
      <c r="F117" s="178" t="s">
        <v>1</v>
      </c>
      <c r="G117" s="178">
        <v>1000</v>
      </c>
      <c r="H117" s="179">
        <v>0.05194444444444444</v>
      </c>
      <c r="I117" s="178"/>
      <c r="J117" s="178"/>
      <c r="K117" s="35"/>
    </row>
    <row r="118" spans="1:11" ht="15" customHeight="1">
      <c r="A118" s="330"/>
      <c r="B118" s="298"/>
      <c r="C118" s="301"/>
      <c r="D118" s="177" t="s">
        <v>873</v>
      </c>
      <c r="E118" s="177" t="s">
        <v>863</v>
      </c>
      <c r="F118" s="178" t="s">
        <v>2</v>
      </c>
      <c r="G118" s="178">
        <v>800</v>
      </c>
      <c r="H118" s="180">
        <v>0.04666666666666667</v>
      </c>
      <c r="I118" s="178" t="s">
        <v>3</v>
      </c>
      <c r="J118" s="178">
        <v>1000</v>
      </c>
      <c r="K118" s="181">
        <v>0.0465625</v>
      </c>
    </row>
    <row r="119" spans="1:11" ht="15" customHeight="1">
      <c r="A119" s="330"/>
      <c r="B119" s="298"/>
      <c r="C119" s="301"/>
      <c r="D119" s="149" t="s">
        <v>861</v>
      </c>
      <c r="E119" s="177" t="s">
        <v>864</v>
      </c>
      <c r="F119" s="178"/>
      <c r="G119" s="178"/>
      <c r="H119" s="180"/>
      <c r="I119" s="178" t="s">
        <v>4</v>
      </c>
      <c r="J119" s="178">
        <v>800</v>
      </c>
      <c r="K119" s="181">
        <v>0.034479166666666665</v>
      </c>
    </row>
    <row r="120" spans="1:11" ht="15" customHeight="1" thickBot="1">
      <c r="A120" s="331"/>
      <c r="B120" s="299"/>
      <c r="C120" s="302"/>
      <c r="D120" s="173" t="s">
        <v>874</v>
      </c>
      <c r="E120" s="173" t="s">
        <v>865</v>
      </c>
      <c r="F120" s="191" t="s">
        <v>158</v>
      </c>
      <c r="G120" s="174">
        <v>700</v>
      </c>
      <c r="H120" s="175">
        <v>0.027175925925925926</v>
      </c>
      <c r="I120" s="174"/>
      <c r="J120" s="174"/>
      <c r="K120" s="176"/>
    </row>
    <row r="121" spans="1:11" ht="15" customHeight="1">
      <c r="A121" s="330">
        <v>26</v>
      </c>
      <c r="B121" s="297" t="s">
        <v>860</v>
      </c>
      <c r="C121" s="300">
        <v>1</v>
      </c>
      <c r="D121" s="125" t="s">
        <v>443</v>
      </c>
      <c r="E121" s="177" t="s">
        <v>866</v>
      </c>
      <c r="F121" s="178" t="s">
        <v>1</v>
      </c>
      <c r="G121" s="178">
        <v>1000</v>
      </c>
      <c r="H121" s="179">
        <v>0.04271990740740741</v>
      </c>
      <c r="I121" s="178"/>
      <c r="J121" s="178"/>
      <c r="K121" s="35"/>
    </row>
    <row r="122" spans="1:11" ht="15" customHeight="1">
      <c r="A122" s="330"/>
      <c r="B122" s="298"/>
      <c r="C122" s="301"/>
      <c r="D122" s="177" t="s">
        <v>873</v>
      </c>
      <c r="E122" s="177" t="s">
        <v>867</v>
      </c>
      <c r="F122" s="178" t="s">
        <v>2</v>
      </c>
      <c r="G122" s="178">
        <v>800</v>
      </c>
      <c r="H122" s="180">
        <v>0.0415162037037037</v>
      </c>
      <c r="I122" s="178" t="s">
        <v>3</v>
      </c>
      <c r="J122" s="178">
        <v>1000</v>
      </c>
      <c r="K122" s="181">
        <v>0.03824074074074074</v>
      </c>
    </row>
    <row r="123" spans="1:11" ht="15" customHeight="1">
      <c r="A123" s="330"/>
      <c r="B123" s="298"/>
      <c r="C123" s="301"/>
      <c r="D123" s="149" t="s">
        <v>861</v>
      </c>
      <c r="E123" s="177" t="s">
        <v>868</v>
      </c>
      <c r="F123" s="178"/>
      <c r="G123" s="178"/>
      <c r="H123" s="180"/>
      <c r="I123" s="178" t="s">
        <v>4</v>
      </c>
      <c r="J123" s="178">
        <v>800</v>
      </c>
      <c r="K123" s="181">
        <v>0.048726851851851855</v>
      </c>
    </row>
    <row r="124" spans="1:11" ht="15" customHeight="1" thickBot="1">
      <c r="A124" s="331"/>
      <c r="B124" s="299"/>
      <c r="C124" s="302"/>
      <c r="D124" s="173" t="s">
        <v>874</v>
      </c>
      <c r="E124" s="173" t="s">
        <v>869</v>
      </c>
      <c r="F124" s="191" t="s">
        <v>158</v>
      </c>
      <c r="G124" s="174">
        <v>700</v>
      </c>
      <c r="H124" s="175">
        <v>0.03640046296296296</v>
      </c>
      <c r="I124" s="174"/>
      <c r="J124" s="174"/>
      <c r="K124" s="176"/>
    </row>
  </sheetData>
  <sheetProtection/>
  <mergeCells count="83">
    <mergeCell ref="A117:A120"/>
    <mergeCell ref="B117:B120"/>
    <mergeCell ref="C117:C120"/>
    <mergeCell ref="A121:A124"/>
    <mergeCell ref="B121:B124"/>
    <mergeCell ref="C121:C124"/>
    <mergeCell ref="A109:A112"/>
    <mergeCell ref="B109:B112"/>
    <mergeCell ref="C109:C112"/>
    <mergeCell ref="A113:A116"/>
    <mergeCell ref="B113:B116"/>
    <mergeCell ref="C113:C116"/>
    <mergeCell ref="A41:A46"/>
    <mergeCell ref="B41:B46"/>
    <mergeCell ref="C41:C46"/>
    <mergeCell ref="A29:A34"/>
    <mergeCell ref="B29:B34"/>
    <mergeCell ref="C29:C34"/>
    <mergeCell ref="A35:A40"/>
    <mergeCell ref="B35:B40"/>
    <mergeCell ref="C35:C40"/>
    <mergeCell ref="B17:B22"/>
    <mergeCell ref="C13:C16"/>
    <mergeCell ref="A17:A22"/>
    <mergeCell ref="C17:C22"/>
    <mergeCell ref="B13:B16"/>
    <mergeCell ref="A23:A28"/>
    <mergeCell ref="B23:B28"/>
    <mergeCell ref="C23:C28"/>
    <mergeCell ref="C9:C12"/>
    <mergeCell ref="B6:B8"/>
    <mergeCell ref="A13:A16"/>
    <mergeCell ref="A6:A8"/>
    <mergeCell ref="B9:B12"/>
    <mergeCell ref="C6:C8"/>
    <mergeCell ref="A9:A12"/>
    <mergeCell ref="A3:A5"/>
    <mergeCell ref="A1:A2"/>
    <mergeCell ref="F1:H1"/>
    <mergeCell ref="I1:K1"/>
    <mergeCell ref="B3:B5"/>
    <mergeCell ref="D1:D2"/>
    <mergeCell ref="E1:E2"/>
    <mergeCell ref="B1:B2"/>
    <mergeCell ref="C1:C2"/>
    <mergeCell ref="C3:C5"/>
    <mergeCell ref="A47:A53"/>
    <mergeCell ref="B47:B53"/>
    <mergeCell ref="C47:C53"/>
    <mergeCell ref="A54:A60"/>
    <mergeCell ref="B54:B60"/>
    <mergeCell ref="C54:C60"/>
    <mergeCell ref="A61:A66"/>
    <mergeCell ref="B61:B66"/>
    <mergeCell ref="C61:C66"/>
    <mergeCell ref="A67:A70"/>
    <mergeCell ref="B67:B70"/>
    <mergeCell ref="C67:C70"/>
    <mergeCell ref="A71:A74"/>
    <mergeCell ref="B71:B74"/>
    <mergeCell ref="C71:C74"/>
    <mergeCell ref="A75:A78"/>
    <mergeCell ref="B75:B78"/>
    <mergeCell ref="C75:C78"/>
    <mergeCell ref="A89:A94"/>
    <mergeCell ref="B89:B94"/>
    <mergeCell ref="C89:C94"/>
    <mergeCell ref="A79:A82"/>
    <mergeCell ref="B79:B82"/>
    <mergeCell ref="C79:C82"/>
    <mergeCell ref="A83:A88"/>
    <mergeCell ref="B83:B88"/>
    <mergeCell ref="C83:C88"/>
    <mergeCell ref="D95:K95"/>
    <mergeCell ref="A101:A104"/>
    <mergeCell ref="B101:B104"/>
    <mergeCell ref="C101:C104"/>
    <mergeCell ref="A105:A108"/>
    <mergeCell ref="B105:B108"/>
    <mergeCell ref="C105:C108"/>
    <mergeCell ref="A96:A100"/>
    <mergeCell ref="B96:B100"/>
    <mergeCell ref="C96:C100"/>
  </mergeCells>
  <printOptions/>
  <pageMargins left="0.48" right="0.27" top="0.68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96"/>
  <sheetViews>
    <sheetView zoomScalePageLayoutView="0" workbookViewId="0" topLeftCell="A1">
      <pane xSplit="9" ySplit="6" topLeftCell="J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22" sqref="F22"/>
    </sheetView>
  </sheetViews>
  <sheetFormatPr defaultColWidth="9.140625" defaultRowHeight="12.75"/>
  <cols>
    <col min="1" max="1" width="5.00390625" style="192" customWidth="1"/>
    <col min="2" max="2" width="28.7109375" style="192" customWidth="1"/>
    <col min="3" max="3" width="4.57421875" style="193" customWidth="1"/>
    <col min="4" max="4" width="32.28125" style="193" customWidth="1"/>
    <col min="5" max="5" width="3.140625" style="193" customWidth="1"/>
    <col min="6" max="6" width="6.140625" style="551" customWidth="1"/>
    <col min="7" max="9" width="8.00390625" style="252" customWidth="1"/>
    <col min="10" max="10" width="8.421875" style="222" customWidth="1"/>
    <col min="11" max="11" width="3.8515625" style="194" customWidth="1"/>
    <col min="12" max="12" width="9.28125" style="225" customWidth="1"/>
    <col min="13" max="13" width="5.57421875" style="192" customWidth="1"/>
    <col min="14" max="14" width="9.00390625" style="194" customWidth="1"/>
    <col min="15" max="15" width="4.140625" style="194" customWidth="1"/>
    <col min="16" max="16" width="9.28125" style="225" customWidth="1"/>
    <col min="17" max="17" width="6.8515625" style="192" customWidth="1"/>
    <col min="18" max="18" width="8.57421875" style="194" customWidth="1"/>
    <col min="19" max="19" width="4.140625" style="194" customWidth="1"/>
    <col min="20" max="20" width="9.28125" style="225" customWidth="1"/>
    <col min="21" max="21" width="8.421875" style="192" customWidth="1"/>
    <col min="22" max="22" width="8.28125" style="194" customWidth="1"/>
    <col min="23" max="23" width="4.140625" style="194" customWidth="1"/>
    <col min="24" max="24" width="9.28125" style="225" customWidth="1"/>
    <col min="25" max="25" width="8.421875" style="192" customWidth="1"/>
    <col min="26" max="26" width="8.28125" style="194" customWidth="1"/>
    <col min="27" max="27" width="4.140625" style="194" customWidth="1"/>
    <col min="28" max="28" width="9.28125" style="226" customWidth="1"/>
    <col min="29" max="29" width="8.421875" style="194" customWidth="1"/>
    <col min="30" max="30" width="8.28125" style="194" customWidth="1"/>
    <col min="31" max="31" width="4.140625" style="194" customWidth="1"/>
    <col min="32" max="32" width="9.28125" style="226" customWidth="1"/>
    <col min="33" max="33" width="8.421875" style="194" customWidth="1"/>
    <col min="34" max="34" width="8.28125" style="194" customWidth="1"/>
    <col min="35" max="35" width="4.140625" style="194" customWidth="1"/>
    <col min="36" max="36" width="9.28125" style="226" customWidth="1"/>
    <col min="37" max="37" width="8.421875" style="194" customWidth="1"/>
    <col min="38" max="38" width="8.28125" style="194" customWidth="1"/>
    <col min="39" max="39" width="4.140625" style="194" customWidth="1"/>
    <col min="40" max="40" width="9.28125" style="226" customWidth="1"/>
    <col min="41" max="41" width="8.421875" style="194" customWidth="1"/>
    <col min="42" max="42" width="8.28125" style="194" customWidth="1"/>
    <col min="43" max="43" width="4.140625" style="194" customWidth="1"/>
    <col min="44" max="44" width="9.28125" style="226" customWidth="1"/>
    <col min="45" max="45" width="8.421875" style="194" customWidth="1"/>
    <col min="46" max="46" width="8.28125" style="194" customWidth="1"/>
    <col min="47" max="47" width="4.140625" style="194" customWidth="1"/>
    <col min="48" max="48" width="9.28125" style="226" customWidth="1"/>
    <col min="49" max="49" width="8.421875" style="194" customWidth="1"/>
    <col min="50" max="50" width="8.28125" style="194" customWidth="1"/>
    <col min="51" max="51" width="4.140625" style="194" customWidth="1"/>
    <col min="52" max="52" width="9.28125" style="226" customWidth="1"/>
    <col min="53" max="53" width="8.421875" style="194" customWidth="1"/>
    <col min="54" max="54" width="8.28125" style="194" customWidth="1"/>
    <col min="55" max="55" width="4.140625" style="194" customWidth="1"/>
    <col min="56" max="56" width="9.28125" style="226" customWidth="1"/>
    <col min="57" max="57" width="8.421875" style="194" customWidth="1"/>
    <col min="58" max="58" width="8.28125" style="194" customWidth="1"/>
    <col min="59" max="59" width="4.140625" style="194" customWidth="1"/>
    <col min="60" max="60" width="9.28125" style="226" customWidth="1"/>
    <col min="61" max="61" width="8.421875" style="194" customWidth="1"/>
    <col min="62" max="62" width="8.28125" style="194" customWidth="1"/>
    <col min="63" max="63" width="4.140625" style="194" customWidth="1"/>
    <col min="64" max="64" width="9.28125" style="226" customWidth="1"/>
    <col min="65" max="65" width="8.421875" style="194" customWidth="1"/>
    <col min="66" max="66" width="8.28125" style="194" customWidth="1"/>
    <col min="67" max="67" width="4.140625" style="194" customWidth="1"/>
    <col min="68" max="68" width="9.28125" style="226" customWidth="1"/>
    <col min="69" max="69" width="8.421875" style="194" customWidth="1"/>
    <col min="70" max="70" width="8.28125" style="194" customWidth="1"/>
    <col min="71" max="71" width="4.140625" style="194" customWidth="1"/>
    <col min="72" max="72" width="9.28125" style="226" customWidth="1"/>
    <col min="73" max="73" width="8.421875" style="194" customWidth="1"/>
    <col min="74" max="74" width="8.28125" style="194" customWidth="1"/>
    <col min="75" max="75" width="4.140625" style="194" customWidth="1"/>
    <col min="76" max="76" width="9.28125" style="226" customWidth="1"/>
    <col min="77" max="77" width="8.421875" style="194" customWidth="1"/>
    <col min="78" max="78" width="8.28125" style="194" customWidth="1"/>
    <col min="79" max="79" width="4.140625" style="194" customWidth="1"/>
    <col min="80" max="80" width="9.28125" style="226" customWidth="1"/>
    <col min="81" max="81" width="8.421875" style="194" customWidth="1"/>
    <col min="82" max="82" width="8.28125" style="194" customWidth="1"/>
    <col min="83" max="83" width="4.140625" style="194" customWidth="1"/>
    <col min="84" max="84" width="9.28125" style="226" customWidth="1"/>
    <col min="85" max="85" width="8.421875" style="194" customWidth="1"/>
    <col min="86" max="86" width="8.28125" style="194" customWidth="1"/>
    <col min="87" max="87" width="4.140625" style="194" customWidth="1"/>
    <col min="88" max="88" width="9.28125" style="226" customWidth="1"/>
    <col min="89" max="89" width="8.421875" style="194" customWidth="1"/>
    <col min="90" max="90" width="8.28125" style="194" customWidth="1"/>
    <col min="91" max="91" width="4.140625" style="194" customWidth="1"/>
    <col min="92" max="92" width="9.28125" style="226" customWidth="1"/>
    <col min="93" max="93" width="8.421875" style="194" customWidth="1"/>
    <col min="94" max="94" width="8.28125" style="194" customWidth="1"/>
    <col min="95" max="95" width="4.140625" style="194" customWidth="1"/>
    <col min="96" max="96" width="9.28125" style="226" customWidth="1"/>
    <col min="97" max="97" width="8.421875" style="194" customWidth="1"/>
    <col min="98" max="98" width="8.28125" style="194" customWidth="1"/>
    <col min="99" max="99" width="4.140625" style="194" customWidth="1"/>
    <col min="100" max="100" width="9.28125" style="226" customWidth="1"/>
    <col min="101" max="101" width="8.421875" style="194" customWidth="1"/>
    <col min="102" max="102" width="8.28125" style="194" customWidth="1"/>
    <col min="103" max="103" width="4.140625" style="194" customWidth="1"/>
    <col min="104" max="104" width="9.28125" style="226" bestFit="1" customWidth="1"/>
    <col min="105" max="105" width="8.421875" style="194" customWidth="1"/>
    <col min="106" max="106" width="8.28125" style="194" customWidth="1"/>
    <col min="107" max="107" width="4.140625" style="194" customWidth="1"/>
    <col min="108" max="108" width="9.28125" style="226" bestFit="1" customWidth="1"/>
    <col min="109" max="109" width="8.421875" style="194" customWidth="1"/>
    <col min="110" max="16384" width="9.140625" style="192" customWidth="1"/>
  </cols>
  <sheetData>
    <row r="1" spans="7:109" ht="30.75" customHeight="1">
      <c r="G1" s="195"/>
      <c r="H1" s="195"/>
      <c r="I1" s="195"/>
      <c r="J1" s="353" t="s">
        <v>402</v>
      </c>
      <c r="K1" s="354"/>
      <c r="L1" s="354"/>
      <c r="M1" s="355"/>
      <c r="N1" s="353" t="s">
        <v>429</v>
      </c>
      <c r="O1" s="354"/>
      <c r="P1" s="354"/>
      <c r="Q1" s="355"/>
      <c r="R1" s="347" t="s">
        <v>432</v>
      </c>
      <c r="S1" s="348"/>
      <c r="T1" s="348"/>
      <c r="U1" s="349"/>
      <c r="V1" s="347" t="s">
        <v>439</v>
      </c>
      <c r="W1" s="348"/>
      <c r="X1" s="348"/>
      <c r="Y1" s="349"/>
      <c r="Z1" s="347" t="s">
        <v>466</v>
      </c>
      <c r="AA1" s="348"/>
      <c r="AB1" s="348"/>
      <c r="AC1" s="349"/>
      <c r="AD1" s="347" t="s">
        <v>467</v>
      </c>
      <c r="AE1" s="348"/>
      <c r="AF1" s="348"/>
      <c r="AG1" s="349"/>
      <c r="AH1" s="347" t="s">
        <v>468</v>
      </c>
      <c r="AI1" s="348"/>
      <c r="AJ1" s="348"/>
      <c r="AK1" s="349"/>
      <c r="AL1" s="332" t="s">
        <v>635</v>
      </c>
      <c r="AM1" s="333"/>
      <c r="AN1" s="333"/>
      <c r="AO1" s="334"/>
      <c r="AP1" s="332" t="s">
        <v>636</v>
      </c>
      <c r="AQ1" s="333"/>
      <c r="AR1" s="333"/>
      <c r="AS1" s="334"/>
      <c r="AT1" s="332" t="s">
        <v>653</v>
      </c>
      <c r="AU1" s="333"/>
      <c r="AV1" s="333"/>
      <c r="AW1" s="334"/>
      <c r="AX1" s="332" t="s">
        <v>654</v>
      </c>
      <c r="AY1" s="333"/>
      <c r="AZ1" s="333"/>
      <c r="BA1" s="334"/>
      <c r="BB1" s="332" t="s">
        <v>655</v>
      </c>
      <c r="BC1" s="333"/>
      <c r="BD1" s="333"/>
      <c r="BE1" s="334"/>
      <c r="BF1" s="332" t="s">
        <v>730</v>
      </c>
      <c r="BG1" s="333"/>
      <c r="BH1" s="333"/>
      <c r="BI1" s="334"/>
      <c r="BJ1" s="332" t="s">
        <v>731</v>
      </c>
      <c r="BK1" s="333"/>
      <c r="BL1" s="333"/>
      <c r="BM1" s="334"/>
      <c r="BN1" s="332" t="s">
        <v>732</v>
      </c>
      <c r="BO1" s="333"/>
      <c r="BP1" s="333"/>
      <c r="BQ1" s="334"/>
      <c r="BR1" s="332" t="s">
        <v>733</v>
      </c>
      <c r="BS1" s="333"/>
      <c r="BT1" s="333"/>
      <c r="BU1" s="334"/>
      <c r="BV1" s="332" t="s">
        <v>734</v>
      </c>
      <c r="BW1" s="333"/>
      <c r="BX1" s="333"/>
      <c r="BY1" s="334"/>
      <c r="BZ1" s="332" t="s">
        <v>735</v>
      </c>
      <c r="CA1" s="333"/>
      <c r="CB1" s="333"/>
      <c r="CC1" s="334"/>
      <c r="CD1" s="332" t="s">
        <v>790</v>
      </c>
      <c r="CE1" s="333"/>
      <c r="CF1" s="333"/>
      <c r="CG1" s="334"/>
      <c r="CH1" s="332" t="s">
        <v>791</v>
      </c>
      <c r="CI1" s="333"/>
      <c r="CJ1" s="333"/>
      <c r="CK1" s="334"/>
      <c r="CL1" s="332" t="s">
        <v>792</v>
      </c>
      <c r="CM1" s="333"/>
      <c r="CN1" s="333"/>
      <c r="CO1" s="334"/>
      <c r="CP1" s="332" t="s">
        <v>851</v>
      </c>
      <c r="CQ1" s="333"/>
      <c r="CR1" s="333"/>
      <c r="CS1" s="334"/>
      <c r="CT1" s="332" t="s">
        <v>852</v>
      </c>
      <c r="CU1" s="333"/>
      <c r="CV1" s="333"/>
      <c r="CW1" s="334"/>
      <c r="CX1" s="332" t="s">
        <v>859</v>
      </c>
      <c r="CY1" s="333"/>
      <c r="CZ1" s="333"/>
      <c r="DA1" s="334"/>
      <c r="DB1" s="332" t="s">
        <v>860</v>
      </c>
      <c r="DC1" s="333"/>
      <c r="DD1" s="333"/>
      <c r="DE1" s="334"/>
    </row>
    <row r="2" spans="2:109" s="196" customFormat="1" ht="15" customHeight="1">
      <c r="B2" s="341" t="s">
        <v>90</v>
      </c>
      <c r="C2" s="342"/>
      <c r="D2" s="342"/>
      <c r="E2" s="342"/>
      <c r="F2" s="342"/>
      <c r="G2" s="350" t="s">
        <v>751</v>
      </c>
      <c r="H2" s="350" t="s">
        <v>154</v>
      </c>
      <c r="I2" s="350" t="s">
        <v>312</v>
      </c>
      <c r="J2" s="335">
        <v>1</v>
      </c>
      <c r="K2" s="197" t="s">
        <v>3</v>
      </c>
      <c r="L2" s="198">
        <f>Varz1NLM1</f>
        <v>0.029212962962962965</v>
      </c>
      <c r="M2" s="199">
        <f>Varz1VK*Varz1TKM1</f>
        <v>1000</v>
      </c>
      <c r="N2" s="335">
        <v>2</v>
      </c>
      <c r="O2" s="197" t="s">
        <v>3</v>
      </c>
      <c r="P2" s="200">
        <f>Varz2NLM1</f>
        <v>0.04827546296296296</v>
      </c>
      <c r="Q2" s="199">
        <f>Varz2VK*Varz2TKM1</f>
        <v>1000</v>
      </c>
      <c r="R2" s="335">
        <v>3</v>
      </c>
      <c r="S2" s="197" t="s">
        <v>3</v>
      </c>
      <c r="T2" s="200">
        <f>Varz3NLM1</f>
        <v>0.05586805555555555</v>
      </c>
      <c r="U2" s="199">
        <f>Varz3VK*Varz3TKM1</f>
        <v>1000</v>
      </c>
      <c r="V2" s="335">
        <v>4</v>
      </c>
      <c r="W2" s="197" t="s">
        <v>3</v>
      </c>
      <c r="X2" s="200">
        <f>Varz4NLM1</f>
        <v>0.04474537037037037</v>
      </c>
      <c r="Y2" s="199">
        <f>Varz4VK*Varz4TKM1</f>
        <v>1000</v>
      </c>
      <c r="Z2" s="335">
        <v>5</v>
      </c>
      <c r="AA2" s="197" t="s">
        <v>3</v>
      </c>
      <c r="AB2" s="200">
        <f>Varz5NLM1</f>
        <v>0.013414351851851851</v>
      </c>
      <c r="AC2" s="199">
        <f>Varz5VK*Varz5TKM1</f>
        <v>1050</v>
      </c>
      <c r="AD2" s="335">
        <v>6</v>
      </c>
      <c r="AE2" s="197" t="s">
        <v>3</v>
      </c>
      <c r="AF2" s="200">
        <f>Varz6NLM1</f>
        <v>0.055312499999999994</v>
      </c>
      <c r="AG2" s="199">
        <f>Varz6VK*Varz6TKM1</f>
        <v>1050</v>
      </c>
      <c r="AH2" s="335">
        <v>7</v>
      </c>
      <c r="AI2" s="197" t="s">
        <v>3</v>
      </c>
      <c r="AJ2" s="200">
        <f>Varz7NLM1</f>
        <v>0.0418287037037037</v>
      </c>
      <c r="AK2" s="199">
        <f>Varz7VK*Varz6TKM1</f>
        <v>1050</v>
      </c>
      <c r="AL2" s="335">
        <v>8</v>
      </c>
      <c r="AM2" s="197" t="s">
        <v>3</v>
      </c>
      <c r="AN2" s="200">
        <f>Varz8NLM1</f>
        <v>0.0795949074074074</v>
      </c>
      <c r="AO2" s="199">
        <f>Varz8VK*Varz8TKM1</f>
        <v>1100</v>
      </c>
      <c r="AP2" s="335">
        <v>9</v>
      </c>
      <c r="AQ2" s="197" t="s">
        <v>3</v>
      </c>
      <c r="AR2" s="200">
        <f>Varz9NLM1</f>
        <v>0.021689814814814815</v>
      </c>
      <c r="AS2" s="199">
        <f>Varz9VK*Varz9TKM1</f>
        <v>1100</v>
      </c>
      <c r="AT2" s="335">
        <v>10</v>
      </c>
      <c r="AU2" s="197" t="s">
        <v>3</v>
      </c>
      <c r="AV2" s="200">
        <f>Varz10NLM1</f>
        <v>0.020555555555555556</v>
      </c>
      <c r="AW2" s="199">
        <f>Varz10VK*Varz10TKM1</f>
        <v>1050</v>
      </c>
      <c r="AX2" s="335">
        <v>11</v>
      </c>
      <c r="AY2" s="197" t="s">
        <v>3</v>
      </c>
      <c r="AZ2" s="200">
        <f>Varz11NLM1</f>
        <v>0.03488425925925926</v>
      </c>
      <c r="BA2" s="199">
        <f>Varz11VK*Varz11TKM1</f>
        <v>1050</v>
      </c>
      <c r="BB2" s="335">
        <v>12</v>
      </c>
      <c r="BC2" s="197" t="s">
        <v>3</v>
      </c>
      <c r="BD2" s="200">
        <f>Varz12NLM1</f>
        <v>0.040428240740740744</v>
      </c>
      <c r="BE2" s="199">
        <f>Varz12VK*Varz12TKM1</f>
        <v>1050</v>
      </c>
      <c r="BF2" s="338">
        <v>13</v>
      </c>
      <c r="BG2" s="201" t="s">
        <v>3</v>
      </c>
      <c r="BH2" s="202">
        <f>Varz13NLM1</f>
        <v>0.02871527777777778</v>
      </c>
      <c r="BI2" s="203">
        <f>Varz13VK*Varz13TKM1</f>
        <v>1000</v>
      </c>
      <c r="BJ2" s="338">
        <v>14</v>
      </c>
      <c r="BK2" s="201" t="s">
        <v>3</v>
      </c>
      <c r="BL2" s="202">
        <f>Varz14NLM1</f>
        <v>0.011354166666666667</v>
      </c>
      <c r="BM2" s="203">
        <f>Varz14VK*Varz14TKM1</f>
        <v>1000</v>
      </c>
      <c r="BN2" s="338">
        <v>15</v>
      </c>
      <c r="BO2" s="201" t="s">
        <v>3</v>
      </c>
      <c r="BP2" s="202">
        <f>Varz15NLM1</f>
        <v>0.0499537037037037</v>
      </c>
      <c r="BQ2" s="203">
        <f>Varz15VK*Varz15TKM1</f>
        <v>1000</v>
      </c>
      <c r="BR2" s="338">
        <v>16</v>
      </c>
      <c r="BS2" s="201" t="s">
        <v>3</v>
      </c>
      <c r="BT2" s="202">
        <f>Varz16NLM1</f>
        <v>0.03236111111111111</v>
      </c>
      <c r="BU2" s="203">
        <f>Varz16VK*Varz16TKM1</f>
        <v>1000</v>
      </c>
      <c r="BV2" s="338">
        <v>17</v>
      </c>
      <c r="BW2" s="201" t="s">
        <v>3</v>
      </c>
      <c r="BX2" s="202">
        <f>Varz17NLM1</f>
        <v>0.03408564814814815</v>
      </c>
      <c r="BY2" s="203">
        <f>Varz17VK*Varz17TKM1</f>
        <v>1050</v>
      </c>
      <c r="BZ2" s="338">
        <v>18</v>
      </c>
      <c r="CA2" s="201" t="s">
        <v>3</v>
      </c>
      <c r="CB2" s="202">
        <f>Varz18NLM1</f>
        <v>0.062349537037037044</v>
      </c>
      <c r="CC2" s="203">
        <f>Varz18VK*Varz18TKM1</f>
        <v>1050</v>
      </c>
      <c r="CD2" s="335">
        <v>20</v>
      </c>
      <c r="CE2" s="197" t="s">
        <v>3</v>
      </c>
      <c r="CF2" s="200">
        <f>Varz20NLM1</f>
        <v>0.03579861111111111</v>
      </c>
      <c r="CG2" s="199">
        <f>Varz20VK*Varz20TKM1</f>
        <v>1100</v>
      </c>
      <c r="CH2" s="335">
        <v>21</v>
      </c>
      <c r="CI2" s="197" t="s">
        <v>3</v>
      </c>
      <c r="CJ2" s="200">
        <f>Varz21NLM1</f>
        <v>0.011932870370370371</v>
      </c>
      <c r="CK2" s="199">
        <f>Varz21VK*Varz21TKM1</f>
        <v>1000</v>
      </c>
      <c r="CL2" s="335">
        <v>22</v>
      </c>
      <c r="CM2" s="197" t="s">
        <v>3</v>
      </c>
      <c r="CN2" s="200">
        <f>Varz22NLM1</f>
        <v>0.04539351851851852</v>
      </c>
      <c r="CO2" s="199">
        <f>Varz22VK*Varz22TKM1</f>
        <v>1000</v>
      </c>
      <c r="CP2" s="335">
        <v>23</v>
      </c>
      <c r="CQ2" s="197" t="s">
        <v>3</v>
      </c>
      <c r="CR2" s="200">
        <f>Varz23NLM1</f>
        <v>0.03045138888888889</v>
      </c>
      <c r="CS2" s="199">
        <f>Varz23VK*Varz23TKM1</f>
        <v>1000</v>
      </c>
      <c r="CT2" s="335">
        <v>24</v>
      </c>
      <c r="CU2" s="197" t="s">
        <v>3</v>
      </c>
      <c r="CV2" s="200">
        <f>Varz24NLM1</f>
        <v>0.014409722222222221</v>
      </c>
      <c r="CW2" s="199">
        <f>Varz24VK*Varz24TKM1</f>
        <v>1000</v>
      </c>
      <c r="CX2" s="335">
        <v>25</v>
      </c>
      <c r="CY2" s="197" t="s">
        <v>3</v>
      </c>
      <c r="CZ2" s="200">
        <f>Varz25NLM1</f>
        <v>0.0465625</v>
      </c>
      <c r="DA2" s="199">
        <f>Varz25VK*Varz25TKM1</f>
        <v>1000</v>
      </c>
      <c r="DB2" s="335">
        <v>26</v>
      </c>
      <c r="DC2" s="197" t="s">
        <v>3</v>
      </c>
      <c r="DD2" s="200">
        <f>Varz26NLM1</f>
        <v>0.03824074074074074</v>
      </c>
      <c r="DE2" s="199">
        <f>Varz26VK*Varz26TKM1</f>
        <v>1000</v>
      </c>
    </row>
    <row r="3" spans="2:109" s="196" customFormat="1" ht="15" customHeight="1">
      <c r="B3" s="343"/>
      <c r="C3" s="344"/>
      <c r="D3" s="344"/>
      <c r="E3" s="344"/>
      <c r="F3" s="344"/>
      <c r="G3" s="351"/>
      <c r="H3" s="351"/>
      <c r="I3" s="351"/>
      <c r="J3" s="336"/>
      <c r="K3" s="204" t="s">
        <v>4</v>
      </c>
      <c r="L3" s="205">
        <f>Varz1NLM2</f>
        <v>0.031608796296296295</v>
      </c>
      <c r="M3" s="206">
        <f>Varz1VK*Varz1TKM2</f>
        <v>800</v>
      </c>
      <c r="N3" s="336"/>
      <c r="O3" s="204" t="s">
        <v>4</v>
      </c>
      <c r="P3" s="207">
        <f>Varz2NLM2</f>
        <v>0.06460648148148147</v>
      </c>
      <c r="Q3" s="206">
        <f>Varz2VK*Varz2TKM2</f>
        <v>800</v>
      </c>
      <c r="R3" s="336"/>
      <c r="S3" s="204" t="s">
        <v>4</v>
      </c>
      <c r="T3" s="207">
        <f>Varz3NLM2</f>
        <v>0.051631944444444446</v>
      </c>
      <c r="U3" s="206">
        <f>Varz3VK*Varz3TKM2</f>
        <v>720</v>
      </c>
      <c r="V3" s="336"/>
      <c r="W3" s="204" t="s">
        <v>4</v>
      </c>
      <c r="X3" s="207">
        <f>Varz4NLM2</f>
        <v>0.04414351851851852</v>
      </c>
      <c r="Y3" s="206">
        <f>Varz4VK*Varz4TKM2</f>
        <v>720</v>
      </c>
      <c r="Z3" s="336"/>
      <c r="AA3" s="204" t="s">
        <v>4</v>
      </c>
      <c r="AB3" s="207">
        <f>Varz5NLM2</f>
        <v>0.012453703703703703</v>
      </c>
      <c r="AC3" s="208">
        <f>Varz5VK*Varz5TKM2</f>
        <v>892.5</v>
      </c>
      <c r="AD3" s="336"/>
      <c r="AE3" s="204" t="s">
        <v>4</v>
      </c>
      <c r="AF3" s="207">
        <f>Varz6NLM2</f>
        <v>0.06546296296296296</v>
      </c>
      <c r="AG3" s="208">
        <f>Varz6VK*Varz6TKM2</f>
        <v>892.5</v>
      </c>
      <c r="AH3" s="336"/>
      <c r="AI3" s="204" t="s">
        <v>4</v>
      </c>
      <c r="AJ3" s="207">
        <f>Varz7NLM2</f>
        <v>0.04252314814814815</v>
      </c>
      <c r="AK3" s="208">
        <f>Varz7VK*Varz7TKM2</f>
        <v>892.5</v>
      </c>
      <c r="AL3" s="336"/>
      <c r="AM3" s="204" t="s">
        <v>4</v>
      </c>
      <c r="AN3" s="207">
        <f>Varz8NLM2</f>
        <v>0.09600694444444445</v>
      </c>
      <c r="AO3" s="206">
        <f>Varz8VK*Varz8TKM2</f>
        <v>935.0000000000001</v>
      </c>
      <c r="AP3" s="336"/>
      <c r="AQ3" s="204" t="s">
        <v>4</v>
      </c>
      <c r="AR3" s="207">
        <f>Varz9NLM2</f>
        <v>0.02377314814814815</v>
      </c>
      <c r="AS3" s="206">
        <f>Varz9VK*Varz9TKM2</f>
        <v>880.0000000000001</v>
      </c>
      <c r="AT3" s="336"/>
      <c r="AU3" s="204" t="s">
        <v>4</v>
      </c>
      <c r="AV3" s="207">
        <f>Varz10NLM2</f>
        <v>0.02065972222222222</v>
      </c>
      <c r="AW3" s="206">
        <f>Varz10VK*Varz10TKM2</f>
        <v>840</v>
      </c>
      <c r="AX3" s="336"/>
      <c r="AY3" s="204" t="s">
        <v>4</v>
      </c>
      <c r="AZ3" s="207">
        <f>Varz11NLM2</f>
        <v>0.02804398148148148</v>
      </c>
      <c r="BA3" s="206">
        <f>Varz11VK*Varz11TKM2</f>
        <v>840</v>
      </c>
      <c r="BB3" s="336"/>
      <c r="BC3" s="204" t="s">
        <v>4</v>
      </c>
      <c r="BD3" s="207">
        <f>Varz12NLM2</f>
        <v>0.034131944444444444</v>
      </c>
      <c r="BE3" s="206">
        <f>Varz12VK*Varz12TKM2</f>
        <v>840</v>
      </c>
      <c r="BF3" s="339"/>
      <c r="BG3" s="209" t="s">
        <v>4</v>
      </c>
      <c r="BH3" s="210">
        <f>Varz13NLM2</f>
        <v>0.026296296296296293</v>
      </c>
      <c r="BI3" s="211">
        <f>Varz13VK*Varz13TKM2</f>
        <v>800</v>
      </c>
      <c r="BJ3" s="339"/>
      <c r="BK3" s="209" t="s">
        <v>4</v>
      </c>
      <c r="BL3" s="210">
        <f>Varz14NLM2</f>
        <v>0.010752314814814814</v>
      </c>
      <c r="BM3" s="211">
        <f>Varz14VK*Varz14TKM2</f>
        <v>800</v>
      </c>
      <c r="BN3" s="339"/>
      <c r="BO3" s="209" t="s">
        <v>4</v>
      </c>
      <c r="BP3" s="210">
        <f>Varz15NLM2</f>
        <v>0.04109953703703704</v>
      </c>
      <c r="BQ3" s="211">
        <f>Varz15VK*Varz15TKM2</f>
        <v>800</v>
      </c>
      <c r="BR3" s="339"/>
      <c r="BS3" s="209" t="s">
        <v>4</v>
      </c>
      <c r="BT3" s="210">
        <f>Varz16NLM2</f>
        <v>0.026875</v>
      </c>
      <c r="BU3" s="211">
        <f>Varz16VK*Varz16TKM2</f>
        <v>800</v>
      </c>
      <c r="BV3" s="339"/>
      <c r="BW3" s="209" t="s">
        <v>4</v>
      </c>
      <c r="BX3" s="210">
        <f>Varz17NLM2</f>
        <v>0.0344212962962963</v>
      </c>
      <c r="BY3" s="211">
        <f>Varz17VK*Varz17TKM2</f>
        <v>840</v>
      </c>
      <c r="BZ3" s="339"/>
      <c r="CA3" s="209" t="s">
        <v>4</v>
      </c>
      <c r="CB3" s="210">
        <f>Varz18NLM2</f>
        <v>0.04954861111111111</v>
      </c>
      <c r="CC3" s="211">
        <f>Varz18VK*Varz18TKM2</f>
        <v>840</v>
      </c>
      <c r="CD3" s="336"/>
      <c r="CE3" s="204" t="s">
        <v>4</v>
      </c>
      <c r="CF3" s="207">
        <f>Varz20NLM2</f>
        <v>0.03451388888888889</v>
      </c>
      <c r="CG3" s="206">
        <f>Varz20VK*Varz20TKM2</f>
        <v>880.0000000000001</v>
      </c>
      <c r="CH3" s="336"/>
      <c r="CI3" s="204" t="s">
        <v>4</v>
      </c>
      <c r="CJ3" s="207">
        <f>Varz21NLM2</f>
        <v>0.010486111111111111</v>
      </c>
      <c r="CK3" s="206">
        <f>Varz21VK*Varz21TKM2</f>
        <v>800</v>
      </c>
      <c r="CL3" s="336"/>
      <c r="CM3" s="204" t="s">
        <v>4</v>
      </c>
      <c r="CN3" s="207">
        <f>Varz22NLM2</f>
        <v>0.04979166666666667</v>
      </c>
      <c r="CO3" s="206">
        <f>Varz22VK*Varz22TKM2</f>
        <v>800</v>
      </c>
      <c r="CP3" s="336"/>
      <c r="CQ3" s="204" t="s">
        <v>4</v>
      </c>
      <c r="CR3" s="207">
        <f>Varz23NLM2</f>
        <v>0.047233796296296295</v>
      </c>
      <c r="CS3" s="206">
        <f>Varz23VK*Varz23TKM2</f>
        <v>720</v>
      </c>
      <c r="CT3" s="336"/>
      <c r="CU3" s="204" t="s">
        <v>4</v>
      </c>
      <c r="CV3" s="207">
        <f>Varz24NLM2</f>
        <v>0.021504629629629627</v>
      </c>
      <c r="CW3" s="206">
        <f>Varz24VK*Varz24TKM2</f>
        <v>720</v>
      </c>
      <c r="CX3" s="336"/>
      <c r="CY3" s="204" t="s">
        <v>4</v>
      </c>
      <c r="CZ3" s="207">
        <f>Varz25NLM2</f>
        <v>0.034479166666666665</v>
      </c>
      <c r="DA3" s="206">
        <f>Varz25VK*Varz25TKM2</f>
        <v>800</v>
      </c>
      <c r="DB3" s="336"/>
      <c r="DC3" s="204" t="s">
        <v>4</v>
      </c>
      <c r="DD3" s="207">
        <f>Varz26NLM2</f>
        <v>0.048726851851851855</v>
      </c>
      <c r="DE3" s="206">
        <f>Varz26VK*Varz26TKM2</f>
        <v>800</v>
      </c>
    </row>
    <row r="4" spans="2:109" s="196" customFormat="1" ht="15" customHeight="1">
      <c r="B4" s="343"/>
      <c r="C4" s="344"/>
      <c r="D4" s="344"/>
      <c r="E4" s="344"/>
      <c r="F4" s="344"/>
      <c r="G4" s="351"/>
      <c r="H4" s="351"/>
      <c r="I4" s="351"/>
      <c r="J4" s="336"/>
      <c r="K4" s="204"/>
      <c r="L4" s="205"/>
      <c r="M4" s="206"/>
      <c r="N4" s="336"/>
      <c r="O4" s="204"/>
      <c r="P4" s="207"/>
      <c r="Q4" s="206"/>
      <c r="R4" s="336"/>
      <c r="S4" s="204"/>
      <c r="T4" s="207"/>
      <c r="U4" s="206"/>
      <c r="V4" s="336"/>
      <c r="W4" s="204"/>
      <c r="X4" s="207"/>
      <c r="Y4" s="206"/>
      <c r="Z4" s="336"/>
      <c r="AA4" s="204" t="s">
        <v>159</v>
      </c>
      <c r="AB4" s="207">
        <f>Varz5NLM3</f>
        <v>0.01638888888888889</v>
      </c>
      <c r="AC4" s="206">
        <f>Varz5VK*Varz5TKM3</f>
        <v>840</v>
      </c>
      <c r="AD4" s="336"/>
      <c r="AE4" s="204" t="s">
        <v>159</v>
      </c>
      <c r="AF4" s="207">
        <f>Varz6NLM3</f>
        <v>0.043993055555555556</v>
      </c>
      <c r="AG4" s="208">
        <f>Varz6VK*Varz6TKM3</f>
        <v>840</v>
      </c>
      <c r="AH4" s="336"/>
      <c r="AI4" s="204" t="s">
        <v>159</v>
      </c>
      <c r="AJ4" s="207">
        <f>Varz7NLM3</f>
        <v>0.038182870370370374</v>
      </c>
      <c r="AK4" s="206">
        <f>Varz7VK*Varz7TKM3</f>
        <v>840</v>
      </c>
      <c r="AL4" s="336"/>
      <c r="AM4" s="204" t="s">
        <v>159</v>
      </c>
      <c r="AN4" s="207">
        <f>Varz8NLM3</f>
        <v>0.07383101851851852</v>
      </c>
      <c r="AO4" s="206">
        <f>Varz8VK*Varz8TKM3</f>
        <v>880.0000000000001</v>
      </c>
      <c r="AP4" s="336"/>
      <c r="AQ4" s="204" t="s">
        <v>159</v>
      </c>
      <c r="AR4" s="207">
        <f>Varz9NLM3</f>
        <v>0.030000000000000002</v>
      </c>
      <c r="AS4" s="206">
        <f>Varz9VK*Varz9TKM3</f>
        <v>693</v>
      </c>
      <c r="AT4" s="336"/>
      <c r="AU4" s="204" t="s">
        <v>159</v>
      </c>
      <c r="AV4" s="207">
        <f>Varz10NLM3</f>
        <v>0.01818287037037037</v>
      </c>
      <c r="AW4" s="206">
        <f>Varz10VK*Varz10TKM3</f>
        <v>735</v>
      </c>
      <c r="AX4" s="336"/>
      <c r="AY4" s="204" t="s">
        <v>159</v>
      </c>
      <c r="AZ4" s="207">
        <f>Varz11NLM3</f>
        <v>0.029305555555555557</v>
      </c>
      <c r="BA4" s="206">
        <f>Varz11VK*Varz11TKM3</f>
        <v>735</v>
      </c>
      <c r="BB4" s="336"/>
      <c r="BC4" s="204" t="s">
        <v>159</v>
      </c>
      <c r="BD4" s="207">
        <f>Varz12NLM3</f>
        <v>0.027291666666666662</v>
      </c>
      <c r="BE4" s="206">
        <f>Varz12VK*Varz12TKM3</f>
        <v>735</v>
      </c>
      <c r="BF4" s="339"/>
      <c r="BG4" s="209"/>
      <c r="BH4" s="210"/>
      <c r="BI4" s="211"/>
      <c r="BJ4" s="339"/>
      <c r="BK4" s="209"/>
      <c r="BL4" s="210"/>
      <c r="BM4" s="211"/>
      <c r="BN4" s="339"/>
      <c r="BO4" s="209"/>
      <c r="BP4" s="210"/>
      <c r="BQ4" s="211"/>
      <c r="BR4" s="339"/>
      <c r="BS4" s="209"/>
      <c r="BT4" s="210"/>
      <c r="BU4" s="211"/>
      <c r="BV4" s="339"/>
      <c r="BW4" s="209" t="s">
        <v>159</v>
      </c>
      <c r="BX4" s="210">
        <f>Varz17NLM3</f>
        <v>0.02957175925925926</v>
      </c>
      <c r="BY4" s="211">
        <f>Varz17VK*Varz17TKM3</f>
        <v>735</v>
      </c>
      <c r="BZ4" s="339"/>
      <c r="CA4" s="209" t="s">
        <v>159</v>
      </c>
      <c r="CB4" s="210">
        <f>Varz18NLM3</f>
        <v>0.043645833333333335</v>
      </c>
      <c r="CC4" s="211">
        <f>Varz18VK*Varz18TKM3</f>
        <v>735</v>
      </c>
      <c r="CD4" s="336"/>
      <c r="CE4" s="204" t="s">
        <v>159</v>
      </c>
      <c r="CF4" s="207">
        <f>Varz20NLM3</f>
        <v>0.042847222222222224</v>
      </c>
      <c r="CG4" s="206">
        <f>Varz20VK*Varz20TKM3</f>
        <v>693</v>
      </c>
      <c r="CH4" s="336"/>
      <c r="CI4" s="204"/>
      <c r="CJ4" s="207"/>
      <c r="CK4" s="206"/>
      <c r="CL4" s="336"/>
      <c r="CM4" s="204" t="s">
        <v>159</v>
      </c>
      <c r="CN4" s="207">
        <f>Varz22NLM3</f>
        <v>0.054664351851851846</v>
      </c>
      <c r="CO4" s="206">
        <f>Varz22VK*Varz22TKM3</f>
        <v>700</v>
      </c>
      <c r="CP4" s="336"/>
      <c r="CQ4" s="204"/>
      <c r="CR4" s="207"/>
      <c r="CS4" s="206"/>
      <c r="CT4" s="336"/>
      <c r="CU4" s="204"/>
      <c r="CV4" s="207"/>
      <c r="CW4" s="206"/>
      <c r="CX4" s="336"/>
      <c r="CY4" s="204"/>
      <c r="CZ4" s="207"/>
      <c r="DA4" s="206"/>
      <c r="DB4" s="336"/>
      <c r="DC4" s="204"/>
      <c r="DD4" s="207"/>
      <c r="DE4" s="206"/>
    </row>
    <row r="5" spans="2:109" s="196" customFormat="1" ht="15" customHeight="1">
      <c r="B5" s="343"/>
      <c r="C5" s="344"/>
      <c r="D5" s="344"/>
      <c r="E5" s="344"/>
      <c r="F5" s="344"/>
      <c r="G5" s="351"/>
      <c r="H5" s="351"/>
      <c r="I5" s="351"/>
      <c r="J5" s="336"/>
      <c r="K5" s="204"/>
      <c r="L5" s="205"/>
      <c r="M5" s="206"/>
      <c r="N5" s="336"/>
      <c r="O5" s="204"/>
      <c r="P5" s="207"/>
      <c r="Q5" s="206"/>
      <c r="R5" s="336"/>
      <c r="S5" s="204"/>
      <c r="T5" s="207"/>
      <c r="U5" s="206"/>
      <c r="V5" s="336"/>
      <c r="W5" s="204"/>
      <c r="X5" s="207"/>
      <c r="Y5" s="206"/>
      <c r="Z5" s="336"/>
      <c r="AA5" s="204" t="s">
        <v>174</v>
      </c>
      <c r="AB5" s="207">
        <f>Varz5NLM4</f>
        <v>0.01252314814814815</v>
      </c>
      <c r="AC5" s="208">
        <f>Varz5VK*Varz5TKM4</f>
        <v>661.5</v>
      </c>
      <c r="AD5" s="336"/>
      <c r="AE5" s="204" t="s">
        <v>174</v>
      </c>
      <c r="AF5" s="207">
        <f>Varz6NLM4</f>
        <v>0.046250000000000006</v>
      </c>
      <c r="AG5" s="208">
        <f>Varz6VK*Varz6TKM4</f>
        <v>661.5</v>
      </c>
      <c r="AH5" s="336"/>
      <c r="AI5" s="204" t="s">
        <v>174</v>
      </c>
      <c r="AJ5" s="207">
        <f>Varz7NLM4</f>
        <v>0.02487268518518519</v>
      </c>
      <c r="AK5" s="208">
        <f>Varz7VK*Varz7TKM4</f>
        <v>661.5</v>
      </c>
      <c r="AL5" s="336"/>
      <c r="AM5" s="204" t="s">
        <v>174</v>
      </c>
      <c r="AN5" s="207">
        <f>Varz8NLM4</f>
        <v>0.08137731481481482</v>
      </c>
      <c r="AO5" s="206">
        <f>Varz8VK*Varz8TKM4</f>
        <v>693</v>
      </c>
      <c r="AP5" s="336"/>
      <c r="AQ5" s="204" t="s">
        <v>174</v>
      </c>
      <c r="AR5" s="207">
        <f>Varz9NLM4</f>
        <v>0.023680555555555555</v>
      </c>
      <c r="AS5" s="206">
        <f>Varz9VK*Varz9TKM4</f>
        <v>660</v>
      </c>
      <c r="AT5" s="336"/>
      <c r="AU5" s="204" t="s">
        <v>174</v>
      </c>
      <c r="AV5" s="207">
        <f>Varz10NLM4</f>
        <v>0.015243055555555557</v>
      </c>
      <c r="AW5" s="206">
        <f>Varz10VK*Varz10TKM4</f>
        <v>630</v>
      </c>
      <c r="AX5" s="336"/>
      <c r="AY5" s="204" t="s">
        <v>174</v>
      </c>
      <c r="AZ5" s="207">
        <f>Varz11NLM4</f>
        <v>0.02677083333333333</v>
      </c>
      <c r="BA5" s="206">
        <f>Varz11VK*Varz11TKM4</f>
        <v>630</v>
      </c>
      <c r="BB5" s="336"/>
      <c r="BC5" s="204" t="s">
        <v>174</v>
      </c>
      <c r="BD5" s="207">
        <f>Varz12NLM4</f>
        <v>0.015000000000000001</v>
      </c>
      <c r="BE5" s="206">
        <f>Varz12VK*Varz12TKM4</f>
        <v>630</v>
      </c>
      <c r="BF5" s="339"/>
      <c r="BG5" s="209"/>
      <c r="BH5" s="210"/>
      <c r="BI5" s="211"/>
      <c r="BJ5" s="339"/>
      <c r="BK5" s="209"/>
      <c r="BL5" s="210"/>
      <c r="BM5" s="211"/>
      <c r="BN5" s="339"/>
      <c r="BO5" s="209"/>
      <c r="BP5" s="210"/>
      <c r="BQ5" s="211"/>
      <c r="BR5" s="339"/>
      <c r="BS5" s="209"/>
      <c r="BT5" s="210"/>
      <c r="BU5" s="211"/>
      <c r="BV5" s="339"/>
      <c r="BW5" s="209"/>
      <c r="BX5" s="210"/>
      <c r="BY5" s="211"/>
      <c r="BZ5" s="339"/>
      <c r="CA5" s="209"/>
      <c r="CB5" s="210"/>
      <c r="CC5" s="211"/>
      <c r="CD5" s="336"/>
      <c r="CE5" s="204" t="s">
        <v>174</v>
      </c>
      <c r="CF5" s="207">
        <f>Varz20NLM4</f>
        <v>0.06070601851851851</v>
      </c>
      <c r="CG5" s="206">
        <f>Varz20VK*Varz20TKM4</f>
        <v>660</v>
      </c>
      <c r="CH5" s="336"/>
      <c r="CI5" s="204"/>
      <c r="CJ5" s="207"/>
      <c r="CK5" s="206"/>
      <c r="CL5" s="336"/>
      <c r="CM5" s="204"/>
      <c r="CN5" s="207"/>
      <c r="CO5" s="206"/>
      <c r="CP5" s="336"/>
      <c r="CQ5" s="204"/>
      <c r="CR5" s="207"/>
      <c r="CS5" s="206"/>
      <c r="CT5" s="336"/>
      <c r="CU5" s="204"/>
      <c r="CV5" s="207"/>
      <c r="CW5" s="206"/>
      <c r="CX5" s="336"/>
      <c r="CY5" s="204"/>
      <c r="CZ5" s="207"/>
      <c r="DA5" s="206"/>
      <c r="DB5" s="336"/>
      <c r="DC5" s="204"/>
      <c r="DD5" s="207"/>
      <c r="DE5" s="206"/>
    </row>
    <row r="6" spans="2:109" s="196" customFormat="1" ht="15" customHeight="1">
      <c r="B6" s="345"/>
      <c r="C6" s="346"/>
      <c r="D6" s="346"/>
      <c r="E6" s="346"/>
      <c r="F6" s="346"/>
      <c r="G6" s="352"/>
      <c r="H6" s="352"/>
      <c r="I6" s="352"/>
      <c r="J6" s="337"/>
      <c r="K6" s="213"/>
      <c r="L6" s="214"/>
      <c r="M6" s="215"/>
      <c r="N6" s="337"/>
      <c r="O6" s="213"/>
      <c r="P6" s="214"/>
      <c r="Q6" s="215"/>
      <c r="R6" s="337"/>
      <c r="S6" s="213"/>
      <c r="T6" s="214"/>
      <c r="U6" s="215"/>
      <c r="V6" s="337"/>
      <c r="W6" s="213"/>
      <c r="X6" s="214"/>
      <c r="Y6" s="215"/>
      <c r="Z6" s="337"/>
      <c r="AA6" s="214"/>
      <c r="AB6" s="216"/>
      <c r="AC6" s="215"/>
      <c r="AD6" s="337"/>
      <c r="AE6" s="214"/>
      <c r="AF6" s="216"/>
      <c r="AG6" s="215"/>
      <c r="AH6" s="337"/>
      <c r="AI6" s="214"/>
      <c r="AJ6" s="216"/>
      <c r="AK6" s="215"/>
      <c r="AL6" s="337"/>
      <c r="AM6" s="204" t="s">
        <v>628</v>
      </c>
      <c r="AN6" s="207">
        <f>Varz8NLM5</f>
        <v>0.057847222222222223</v>
      </c>
      <c r="AO6" s="206">
        <f>Varz8VK*Varz8TKM5</f>
        <v>660</v>
      </c>
      <c r="AP6" s="337"/>
      <c r="AQ6" s="204"/>
      <c r="AR6" s="207"/>
      <c r="AS6" s="206"/>
      <c r="AT6" s="337"/>
      <c r="AU6" s="214"/>
      <c r="AV6" s="216"/>
      <c r="AW6" s="215"/>
      <c r="AX6" s="337"/>
      <c r="AY6" s="214"/>
      <c r="AZ6" s="216"/>
      <c r="BA6" s="215"/>
      <c r="BB6" s="337"/>
      <c r="BC6" s="214"/>
      <c r="BD6" s="216"/>
      <c r="BE6" s="215"/>
      <c r="BF6" s="340"/>
      <c r="BG6" s="217"/>
      <c r="BH6" s="218"/>
      <c r="BI6" s="219"/>
      <c r="BJ6" s="340"/>
      <c r="BK6" s="217"/>
      <c r="BL6" s="218"/>
      <c r="BM6" s="219"/>
      <c r="BN6" s="340"/>
      <c r="BO6" s="217"/>
      <c r="BP6" s="218"/>
      <c r="BQ6" s="219"/>
      <c r="BR6" s="340"/>
      <c r="BS6" s="217"/>
      <c r="BT6" s="218"/>
      <c r="BU6" s="219"/>
      <c r="BV6" s="340"/>
      <c r="BW6" s="217"/>
      <c r="BX6" s="218"/>
      <c r="BY6" s="219"/>
      <c r="BZ6" s="340"/>
      <c r="CA6" s="217"/>
      <c r="CB6" s="218"/>
      <c r="CC6" s="219"/>
      <c r="CD6" s="337"/>
      <c r="CE6" s="214"/>
      <c r="CF6" s="216"/>
      <c r="CG6" s="215"/>
      <c r="CH6" s="337"/>
      <c r="CI6" s="214"/>
      <c r="CJ6" s="216"/>
      <c r="CK6" s="215"/>
      <c r="CL6" s="337"/>
      <c r="CM6" s="214"/>
      <c r="CN6" s="216"/>
      <c r="CO6" s="215"/>
      <c r="CP6" s="337"/>
      <c r="CQ6" s="214"/>
      <c r="CR6" s="216"/>
      <c r="CS6" s="215"/>
      <c r="CT6" s="337"/>
      <c r="CU6" s="214"/>
      <c r="CV6" s="216"/>
      <c r="CW6" s="215"/>
      <c r="CX6" s="337"/>
      <c r="CY6" s="214"/>
      <c r="CZ6" s="216"/>
      <c r="DA6" s="215"/>
      <c r="DB6" s="337"/>
      <c r="DC6" s="214"/>
      <c r="DD6" s="216"/>
      <c r="DE6" s="215"/>
    </row>
    <row r="7" spans="7:109" ht="3" customHeight="1">
      <c r="G7" s="220"/>
      <c r="H7" s="221"/>
      <c r="I7" s="220"/>
      <c r="L7" s="223">
        <v>0.983958333333333</v>
      </c>
      <c r="M7" s="224"/>
      <c r="Q7" s="224"/>
      <c r="U7" s="224"/>
      <c r="Y7" s="224"/>
      <c r="AC7" s="212"/>
      <c r="AG7" s="212"/>
      <c r="AK7" s="212"/>
      <c r="AO7" s="212"/>
      <c r="AS7" s="212"/>
      <c r="AW7" s="212"/>
      <c r="BA7" s="212"/>
      <c r="BE7" s="212"/>
      <c r="BI7" s="212"/>
      <c r="BM7" s="212"/>
      <c r="BQ7" s="212"/>
      <c r="BU7" s="212"/>
      <c r="BY7" s="212"/>
      <c r="CC7" s="212"/>
      <c r="CG7" s="212"/>
      <c r="CK7" s="212"/>
      <c r="CO7" s="212"/>
      <c r="CP7" s="227"/>
      <c r="CQ7" s="227"/>
      <c r="CR7" s="228"/>
      <c r="CS7" s="229"/>
      <c r="CT7" s="227"/>
      <c r="CU7" s="227"/>
      <c r="CV7" s="228"/>
      <c r="CW7" s="229"/>
      <c r="CX7" s="227"/>
      <c r="CY7" s="227"/>
      <c r="CZ7" s="228"/>
      <c r="DA7" s="229"/>
      <c r="DB7" s="227"/>
      <c r="DC7" s="227"/>
      <c r="DD7" s="228"/>
      <c r="DE7" s="229"/>
    </row>
    <row r="8" spans="3:109" s="230" customFormat="1" ht="12.75" customHeight="1" hidden="1">
      <c r="C8" s="231"/>
      <c r="D8" s="231"/>
      <c r="E8" s="231"/>
      <c r="F8" s="552"/>
      <c r="G8" s="233"/>
      <c r="H8" s="233"/>
      <c r="I8" s="233"/>
      <c r="J8" s="234"/>
      <c r="K8" s="232"/>
      <c r="L8" s="235"/>
      <c r="M8" s="236"/>
      <c r="N8" s="232"/>
      <c r="O8" s="232" t="s">
        <v>3</v>
      </c>
      <c r="P8" s="237"/>
      <c r="Q8" s="238">
        <f>IF((2-P8/Varz2NLM1)*Varz2TKM1*Varz2VK&gt;0,(2-P8/Varz2NLM1)*Varz2TKM1*Varz2VK,10)</f>
        <v>2000</v>
      </c>
      <c r="R8" s="232" t="s">
        <v>105</v>
      </c>
      <c r="S8" s="232" t="s">
        <v>3</v>
      </c>
      <c r="T8" s="237"/>
      <c r="U8" s="238">
        <f>IF((2-T8/Varz3NLM1)*Varz3TKM1*Varz3VK&gt;0,(2-T8/Varz3NLM1)*Varz3TKM1*Varz3VK,10)</f>
        <v>2000</v>
      </c>
      <c r="V8" s="232" t="s">
        <v>105</v>
      </c>
      <c r="W8" s="232" t="s">
        <v>3</v>
      </c>
      <c r="X8" s="237"/>
      <c r="Y8" s="238">
        <f>IF((2-X8/Varz4NLM1)*Varz4TKM1*Varz4VK&gt;0,(2-X8/Varz4NLM1)*Varz4TKM1*Varz4VK,10)</f>
        <v>2000</v>
      </c>
      <c r="Z8" s="232"/>
      <c r="AA8" s="232" t="s">
        <v>3</v>
      </c>
      <c r="AB8" s="239"/>
      <c r="AC8" s="240">
        <f>IF((2-AB8/Varz5NLM1)*Varz5TKM1*Varz5VK&gt;0,(2-AB8/Varz5NLM1)*Varz5TKM1*Varz5VK,10)</f>
        <v>2100</v>
      </c>
      <c r="AD8" s="194"/>
      <c r="AE8" s="194" t="s">
        <v>3</v>
      </c>
      <c r="AF8" s="226"/>
      <c r="AG8" s="240">
        <f>IF((2-AF8/Varz6NLM1)*Varz6TKM1*Varz6VK&gt;0,(2-AF8/Varz6NLM1)*Varz6TKM1*Varz6VK,10)</f>
        <v>2100</v>
      </c>
      <c r="AH8" s="194"/>
      <c r="AI8" s="194" t="s">
        <v>3</v>
      </c>
      <c r="AJ8" s="226"/>
      <c r="AK8" s="240">
        <f>IF((2-AJ8/Varz7NLM1)*Varz7TKM1*Varz7VK&gt;0,(2-AJ8/Varz7NLM1)*Varz7TKM1*Varz7VK,10)</f>
        <v>2100</v>
      </c>
      <c r="AL8" s="241"/>
      <c r="AM8" s="241" t="s">
        <v>3</v>
      </c>
      <c r="AN8" s="242"/>
      <c r="AO8" s="243">
        <f>IF((2-AN8/Varz8NLM1)*Varz8TKM1*Varz8VK&gt;0,(2-AN8/Varz8NLM1)*Varz8TKM1*Varz8VK,10)</f>
        <v>2200</v>
      </c>
      <c r="AP8" s="241"/>
      <c r="AQ8" s="241" t="s">
        <v>3</v>
      </c>
      <c r="AR8" s="242"/>
      <c r="AS8" s="243">
        <f>IF((2-AR8/Varz9NLM1)*Varz9TKM1*Varz9VK&gt;0,(2-AR8/Varz9NLM1)*Varz9TKM1*Varz9VK,10)</f>
        <v>2200</v>
      </c>
      <c r="AT8" s="241"/>
      <c r="AU8" s="241" t="s">
        <v>3</v>
      </c>
      <c r="AV8" s="242"/>
      <c r="AW8" s="243">
        <f>IF((2-AV8/Varz10NLM1)*Varz10TKM1*Varz10VK&gt;0,(2-AV8/Varz10NLM1)*Varz10TKM1*Varz10VK,10)</f>
        <v>2100</v>
      </c>
      <c r="AX8" s="241"/>
      <c r="AY8" s="241" t="s">
        <v>3</v>
      </c>
      <c r="AZ8" s="242"/>
      <c r="BA8" s="243">
        <f>IF((2-AZ8/Varz11NLM1)*Varz11TKM1*Varz11VK&gt;0,(2-AZ8/Varz11NLM1)*Varz11TKM1*Varz11VK,10)</f>
        <v>2100</v>
      </c>
      <c r="BB8" s="241"/>
      <c r="BC8" s="241" t="s">
        <v>3</v>
      </c>
      <c r="BD8" s="242"/>
      <c r="BE8" s="243">
        <f>IF((2-BD8/Varz12NLM1)*Varz12TKM1*Varz12VK&gt;0,(2-BD8/Varz12NLM1)*Varz12TKM1*Varz12VK,10)</f>
        <v>2100</v>
      </c>
      <c r="BF8" s="241"/>
      <c r="BG8" s="241" t="s">
        <v>3</v>
      </c>
      <c r="BH8" s="242"/>
      <c r="BI8" s="244">
        <f>IF((2-BH8/Varz13NLM1)*Varz13TKM1*Varz13VK&gt;0,(2-BH8/Varz13NLM1)*Varz13TKM1*Varz13VK,10)</f>
        <v>2000</v>
      </c>
      <c r="BJ8" s="241"/>
      <c r="BK8" s="241" t="s">
        <v>3</v>
      </c>
      <c r="BL8" s="242"/>
      <c r="BM8" s="245">
        <f>IF((2-BL8/Varz14NLM1)*Varz14TKM1*Varz14VK&gt;0,(2-BL8/Varz14NLM1)*Varz14TKM1*Varz14VK,10)</f>
        <v>2000</v>
      </c>
      <c r="BN8" s="241"/>
      <c r="BO8" s="241" t="s">
        <v>3</v>
      </c>
      <c r="BP8" s="242"/>
      <c r="BQ8" s="245">
        <f>IF((2-BP8/Varz15NLM1)*Varz15TKM1*Varz15VK&gt;0,(2-BP8/Varz15NLM1)*Varz15TKM1*Varz15VK,10)</f>
        <v>2000</v>
      </c>
      <c r="BR8" s="241"/>
      <c r="BS8" s="241" t="s">
        <v>3</v>
      </c>
      <c r="BT8" s="242"/>
      <c r="BU8" s="245">
        <f>IF((2-BT8/Varz16NLM1)*Varz16TKM1*Varz16VK&gt;0,(2-BT8/Varz16NLM1)*Varz16TKM1*Varz16VK,10)</f>
        <v>2000</v>
      </c>
      <c r="BV8" s="241"/>
      <c r="BW8" s="241" t="s">
        <v>3</v>
      </c>
      <c r="BX8" s="242"/>
      <c r="BY8" s="245">
        <f>IF((2-BX8/Varz17NLM1)*Varz17TKM1*Varz17VK&gt;0,(2-BX8/Varz17NLM1)*Varz17TKM1*Varz17VK,10)</f>
        <v>2100</v>
      </c>
      <c r="BZ8" s="241"/>
      <c r="CA8" s="241" t="s">
        <v>3</v>
      </c>
      <c r="CB8" s="242"/>
      <c r="CC8" s="245">
        <f>IF((2-CB8/Varz18NLM1)*Varz18TKM1*Varz18VK&gt;0,(2-CB8/Varz18NLM1)*Varz18TKM1*Varz18VK,10)</f>
        <v>2100</v>
      </c>
      <c r="CD8" s="246"/>
      <c r="CE8" s="246" t="s">
        <v>3</v>
      </c>
      <c r="CF8" s="247"/>
      <c r="CG8" s="245">
        <f>IF((2-CF8/Varz20NLM1)*Varz20TKM1*Varz20VK&gt;0,(2-CF8/Varz20NLM1)*Varz20TKM1*Varz20VK,10)</f>
        <v>2200</v>
      </c>
      <c r="CH8" s="246"/>
      <c r="CI8" s="246" t="s">
        <v>3</v>
      </c>
      <c r="CJ8" s="247"/>
      <c r="CK8" s="245">
        <f>IF((2-CJ8/Varz21NLM1)*Varz21TKM1*Varz21VK&gt;0,(2-CJ8/Varz21NLM1)*Varz21TKM1*Varz21VK,10)</f>
        <v>2000</v>
      </c>
      <c r="CL8" s="246"/>
      <c r="CM8" s="246" t="s">
        <v>3</v>
      </c>
      <c r="CN8" s="247"/>
      <c r="CO8" s="245">
        <f>IF((2-CN8/Varz22NLM1)*Varz22TKM1*Varz22VK&gt;0,(2-CN8/Varz22NLM1)*Varz22TKM1*Varz22VK,10)</f>
        <v>2000</v>
      </c>
      <c r="CP8" s="246"/>
      <c r="CQ8" s="246" t="s">
        <v>3</v>
      </c>
      <c r="CR8" s="247"/>
      <c r="CS8" s="243">
        <f>IF((2-CR8/Varz23NLM1)*Varz23TKM1*Varz23VK&gt;0,(2-CR8/Varz23NLM1)*Varz23TKM1*Varz23VK,10)</f>
        <v>2000</v>
      </c>
      <c r="CT8" s="246"/>
      <c r="CU8" s="246" t="s">
        <v>3</v>
      </c>
      <c r="CV8" s="247"/>
      <c r="CW8" s="243">
        <f>IF((2-CV8/Varz24NLM1)*Varz24TKM1*Varz24VK&gt;0,(2-CV8/Varz24NLM1)*Varz24TKM1*Varz24VK,10)</f>
        <v>2000</v>
      </c>
      <c r="CX8" s="246"/>
      <c r="CY8" s="246" t="s">
        <v>3</v>
      </c>
      <c r="CZ8" s="247"/>
      <c r="DA8" s="243">
        <f>IF((2-CZ8/Varz25NLM1)*Varz25TKM1*Varz25VK&gt;0,(2-CZ8/Varz25NLM1)*Varz25TKM1*Varz25VK,10)</f>
        <v>2000</v>
      </c>
      <c r="DB8" s="246"/>
      <c r="DC8" s="246" t="s">
        <v>3</v>
      </c>
      <c r="DD8" s="247"/>
      <c r="DE8" s="243">
        <f>IF((2-DD8/Varz26NLM1)*Varz26TKM1*Varz26VK&gt;0,(2-DD8/Varz26NLM1)*Varz26TKM1*Varz26VK,10)</f>
        <v>2000</v>
      </c>
    </row>
    <row r="9" spans="3:109" s="230" customFormat="1" ht="12.75" customHeight="1" hidden="1">
      <c r="C9" s="231"/>
      <c r="D9" s="231"/>
      <c r="E9" s="231"/>
      <c r="F9" s="552"/>
      <c r="G9" s="233"/>
      <c r="H9" s="233"/>
      <c r="I9" s="233"/>
      <c r="J9" s="234"/>
      <c r="K9" s="232"/>
      <c r="L9" s="235"/>
      <c r="M9" s="236"/>
      <c r="N9" s="232"/>
      <c r="O9" s="232" t="s">
        <v>4</v>
      </c>
      <c r="P9" s="237"/>
      <c r="Q9" s="243">
        <f>IF((2-P9/Varz2NLM2)*Varz2TKM2*Varz2VK&gt;0,(2-P9/Varz2NLM2)*Varz2TKM2*Varz2VK,10)</f>
        <v>1600</v>
      </c>
      <c r="R9" s="232" t="s">
        <v>108</v>
      </c>
      <c r="S9" s="232" t="s">
        <v>4</v>
      </c>
      <c r="T9" s="237"/>
      <c r="U9" s="243">
        <f>IF((2-T9/Varz3NLM2)*Varz3TKM2*Varz3VK&gt;0,(2-T9/Varz3NLM2)*Varz3TKM2*Varz3VK,10)</f>
        <v>1440</v>
      </c>
      <c r="V9" s="232" t="s">
        <v>106</v>
      </c>
      <c r="W9" s="232" t="s">
        <v>4</v>
      </c>
      <c r="X9" s="237"/>
      <c r="Y9" s="243">
        <f>IF((2-X9/Varz4NLM2)*Varz4TKM2*Varz4VK&gt;0,(2-X9/Varz4NLM2)*Varz4TKM2*Varz4VK,10)</f>
        <v>1440</v>
      </c>
      <c r="Z9" s="232"/>
      <c r="AA9" s="232" t="s">
        <v>4</v>
      </c>
      <c r="AB9" s="239"/>
      <c r="AC9" s="243">
        <f>IF((2-AB9/Varz5NLM2)*Varz5TKM2*Varz5VK&gt;0,(2-AB9/Varz5NLM2)*Varz5TKM2*Varz5VK,10)</f>
        <v>1785</v>
      </c>
      <c r="AD9" s="232"/>
      <c r="AE9" s="232" t="s">
        <v>4</v>
      </c>
      <c r="AF9" s="239"/>
      <c r="AG9" s="243">
        <f>IF((2-AF9/Varz6NLM2)*Varz6TKM2*Varz6VK&gt;0,(2-AF9/Varz6NLM2)*Varz6TKM2*Varz6VK,10)</f>
        <v>1785</v>
      </c>
      <c r="AH9" s="232"/>
      <c r="AI9" s="232" t="s">
        <v>4</v>
      </c>
      <c r="AJ9" s="239"/>
      <c r="AK9" s="243">
        <f>IF((2-AJ9/Varz7NLM2)*Varz7TKM2*Varz7VK&gt;0,(2-AJ9/Varz7NLM2)*Varz7TKM2*Varz7VK,10)</f>
        <v>1785</v>
      </c>
      <c r="AL9" s="241"/>
      <c r="AM9" s="241" t="s">
        <v>4</v>
      </c>
      <c r="AN9" s="242"/>
      <c r="AO9" s="243">
        <f>IF((2-AN9/Varz8NLM2)*Varz8TKM2*Varz8VK&gt;0,(2-AN9/Varz8NLM2)*Varz8TKM2*Varz8VK,10)</f>
        <v>1870.0000000000002</v>
      </c>
      <c r="AP9" s="241"/>
      <c r="AQ9" s="241" t="s">
        <v>4</v>
      </c>
      <c r="AR9" s="242"/>
      <c r="AS9" s="243">
        <f>IF((2-AR9/Varz9NLM2)*Varz9TKM2*Varz9VK&gt;0,(2-AR9/Varz9NLM2)*Varz9TKM2*Varz9VK,10)</f>
        <v>1760.0000000000002</v>
      </c>
      <c r="AT9" s="241"/>
      <c r="AU9" s="241" t="s">
        <v>4</v>
      </c>
      <c r="AV9" s="242"/>
      <c r="AW9" s="243">
        <f>IF((2-AV9/Varz10NLM2)*Varz10TKM2*Varz10VK&gt;0,(2-AV9/Varz10NLM2)*Varz10TKM2*Varz10VK,10)</f>
        <v>1680</v>
      </c>
      <c r="AX9" s="241"/>
      <c r="AY9" s="241" t="s">
        <v>4</v>
      </c>
      <c r="AZ9" s="242"/>
      <c r="BA9" s="243">
        <f>IF((2-AZ9/Varz11NLM2)*Varz11TKM2*Varz11VK&gt;0,(2-AZ9/Varz11NLM2)*Varz11TKM2*Varz11VK,10)</f>
        <v>1680</v>
      </c>
      <c r="BB9" s="241"/>
      <c r="BC9" s="241" t="s">
        <v>4</v>
      </c>
      <c r="BD9" s="242"/>
      <c r="BE9" s="243">
        <f>IF((2-BD9/Varz12NLM2)*Varz12TKM2*Varz12VK&gt;0,(2-BD9/Varz12NLM2)*Varz12TKM2*Varz12VK,10)</f>
        <v>1680</v>
      </c>
      <c r="BF9" s="241"/>
      <c r="BG9" s="241"/>
      <c r="BH9" s="242"/>
      <c r="BI9" s="244">
        <f>IF((2-BH9/Varz13NLM2)*Varz13TKM2*Varz13VK&gt;0,(2-BH9/Varz13NLM2)*Varz13TKM2*Varz13VK,10)</f>
        <v>1600</v>
      </c>
      <c r="BJ9" s="241"/>
      <c r="BK9" s="241"/>
      <c r="BL9" s="242"/>
      <c r="BM9" s="245">
        <f>IF((2-BL9/Varz14NLM2)*Varz14TKM2*Varz14VK&gt;0,(2-BL9/Varz14NLM2)*Varz14TKM2*Varz14VK,10)</f>
        <v>1600</v>
      </c>
      <c r="BN9" s="241"/>
      <c r="BO9" s="241" t="s">
        <v>4</v>
      </c>
      <c r="BP9" s="242"/>
      <c r="BQ9" s="243">
        <f>IF((2-BP9/Varz15NLM2)*Varz15TKM2*Varz15VK&gt;0,(2-BP9/Varz15NLM2)*Varz15TKM2*Varz15VK,10)</f>
        <v>1600</v>
      </c>
      <c r="BR9" s="241"/>
      <c r="BS9" s="241" t="s">
        <v>4</v>
      </c>
      <c r="BT9" s="242"/>
      <c r="BU9" s="243">
        <f>IF((2-BT9/Varz16NLM2)*Varz16TKM2*Varz16VK&gt;0,(2-BT9/Varz16NLM2)*Varz16TKM2*Varz16VK,10)</f>
        <v>1600</v>
      </c>
      <c r="BV9" s="241"/>
      <c r="BW9" s="241" t="s">
        <v>4</v>
      </c>
      <c r="BX9" s="242"/>
      <c r="BY9" s="243">
        <f>IF((2-BX9/Varz17NLM2)*Varz17TKM2*Varz17VK&gt;0,(2-BX9/Varz17NLM2)*Varz17TKM2*Varz17VK,10)</f>
        <v>1680</v>
      </c>
      <c r="BZ9" s="241"/>
      <c r="CA9" s="241" t="s">
        <v>4</v>
      </c>
      <c r="CB9" s="242"/>
      <c r="CC9" s="243">
        <f>IF((2-CB9/Varz18NLM2)*Varz18TKM2*Varz18VK&gt;0,(2-CB9/Varz18NLM2)*Varz18TKM2*Varz18VK,10)</f>
        <v>1680</v>
      </c>
      <c r="CD9" s="246"/>
      <c r="CE9" s="246" t="s">
        <v>4</v>
      </c>
      <c r="CF9" s="247"/>
      <c r="CG9" s="243">
        <f>IF((2-CF9/Varz20NLM2)*Varz20TKM2*Varz20VK&gt;0,(2-CF9/Varz20NLM2)*Varz20TKM2*Varz20VK,10)</f>
        <v>1760.0000000000002</v>
      </c>
      <c r="CH9" s="246"/>
      <c r="CI9" s="246" t="s">
        <v>4</v>
      </c>
      <c r="CJ9" s="247"/>
      <c r="CK9" s="243">
        <f>IF((2-CJ9/Varz21NLM2)*Varz21TKM2*Varz21VK&gt;0,(2-CJ9/Varz21NLM2)*Varz21TKM2*Varz21VK,10)</f>
        <v>1600</v>
      </c>
      <c r="CL9" s="246"/>
      <c r="CM9" s="246" t="s">
        <v>4</v>
      </c>
      <c r="CN9" s="247"/>
      <c r="CO9" s="243">
        <f>IF((2-CN9/Varz22NLM2)*Varz22TKM2*Varz22VK&gt;0,(2-CN9/Varz22NLM2)*Varz22TKM2*Varz22VK,10)</f>
        <v>1600</v>
      </c>
      <c r="CP9" s="246"/>
      <c r="CQ9" s="246" t="s">
        <v>4</v>
      </c>
      <c r="CR9" s="247"/>
      <c r="CS9" s="243">
        <f>IF((2-CR9/Varz23NLM2)*Varz23TKM2*Varz23VK&gt;0,(2-CR9/Varz23NLM2)*Varz23TKM2*Varz23VK,10)</f>
        <v>1440</v>
      </c>
      <c r="CT9" s="246"/>
      <c r="CU9" s="246" t="s">
        <v>4</v>
      </c>
      <c r="CV9" s="247"/>
      <c r="CW9" s="243">
        <f>IF((2-CV9/Varz24NLM2)*Varz24TKM2*Varz24VK&gt;0,(2-CV9/Varz24NLM2)*Varz24TKM2*Varz24VK,10)</f>
        <v>1440</v>
      </c>
      <c r="CX9" s="246"/>
      <c r="CY9" s="246" t="s">
        <v>4</v>
      </c>
      <c r="CZ9" s="247"/>
      <c r="DA9" s="243">
        <f>IF((2-CZ9/Varz25NLM2)*Varz25TKM2*Varz25VK&gt;0,(2-CZ9/Varz25NLM2)*Varz25TKM2*Varz25VK,10)</f>
        <v>1600</v>
      </c>
      <c r="DB9" s="246"/>
      <c r="DC9" s="246" t="s">
        <v>4</v>
      </c>
      <c r="DD9" s="247"/>
      <c r="DE9" s="243">
        <f>IF((2-DD9/Varz26NLM2)*Varz26TKM2*Varz26VK&gt;0,(2-DD9/Varz26NLM2)*Varz26TKM2*Varz26VK,10)</f>
        <v>1600</v>
      </c>
    </row>
    <row r="10" spans="3:109" s="230" customFormat="1" ht="12.75" customHeight="1" hidden="1">
      <c r="C10" s="231"/>
      <c r="D10" s="231"/>
      <c r="E10" s="231"/>
      <c r="F10" s="552"/>
      <c r="G10" s="233"/>
      <c r="H10" s="233"/>
      <c r="I10" s="233"/>
      <c r="J10" s="234"/>
      <c r="K10" s="232"/>
      <c r="L10" s="235"/>
      <c r="M10" s="236"/>
      <c r="N10" s="232"/>
      <c r="O10" s="232"/>
      <c r="P10" s="237"/>
      <c r="Q10" s="238"/>
      <c r="R10" s="232"/>
      <c r="S10" s="232"/>
      <c r="T10" s="237"/>
      <c r="U10" s="243"/>
      <c r="V10" s="232"/>
      <c r="W10" s="232"/>
      <c r="X10" s="237"/>
      <c r="Y10" s="243"/>
      <c r="Z10" s="232"/>
      <c r="AA10" s="232" t="s">
        <v>159</v>
      </c>
      <c r="AB10" s="239"/>
      <c r="AC10" s="243">
        <f>IF((2-AB10/Varz5NLM3)*Varz5TKM3*Varz5VK&gt;0,(2-AB10/Varz5NLM3)*Varz5TKM3*Varz5VK,10)</f>
        <v>1680</v>
      </c>
      <c r="AD10" s="232"/>
      <c r="AE10" s="232" t="s">
        <v>159</v>
      </c>
      <c r="AF10" s="239"/>
      <c r="AG10" s="243">
        <f>IF((2-AF10/Varz6NLM3)*Varz6TKM3*Varz6VK&gt;0,(2-AF10/Varz6NLM3)*Varz6TKM3*Varz6VK,10)</f>
        <v>1680</v>
      </c>
      <c r="AH10" s="232"/>
      <c r="AI10" s="232" t="s">
        <v>159</v>
      </c>
      <c r="AJ10" s="239"/>
      <c r="AK10" s="243">
        <f>IF((2-AJ10/Varz7NLM3)*Varz7TKM3*Varz7VK&gt;0,(2-AJ10/Varz7NLM3)*Varz7TKM3*Varz7VK,10)</f>
        <v>1680</v>
      </c>
      <c r="AL10" s="241"/>
      <c r="AM10" s="241" t="s">
        <v>159</v>
      </c>
      <c r="AN10" s="242"/>
      <c r="AO10" s="243">
        <f>IF((2-AN10/Varz8NLM3)*Varz8TKM3*Varz8VK&gt;0,(2-AN10/Varz8NLM3)*Varz8TKM3*Varz8VK,10)</f>
        <v>1760.0000000000002</v>
      </c>
      <c r="AP10" s="241"/>
      <c r="AQ10" s="241"/>
      <c r="AR10" s="242"/>
      <c r="AS10" s="243">
        <f>IF((2-AR10/Varz9NLM3)*Varz9TKM3*Varz9VK&gt;0,(2-AR10/Varz9NLM3)*Varz9TKM3*Varz9VK,10)</f>
        <v>1386</v>
      </c>
      <c r="AT10" s="241"/>
      <c r="AU10" s="241" t="s">
        <v>159</v>
      </c>
      <c r="AV10" s="242"/>
      <c r="AW10" s="243">
        <f>IF((2-AV10/Varz10NLM3)*Varz10TKM3*Varz10VK&gt;0,(2-AV10/Varz10NLM3)*Varz10TKM3*Varz10VK,10)</f>
        <v>1470</v>
      </c>
      <c r="AX10" s="241"/>
      <c r="AY10" s="241" t="s">
        <v>159</v>
      </c>
      <c r="AZ10" s="242"/>
      <c r="BA10" s="243">
        <f>IF((2-AZ10/Varz11NLM3)*Varz11TKM3*Varz11VK&gt;0,(2-AZ10/Varz11NLM3)*Varz11TKM3*Varz11VK,10)</f>
        <v>1470</v>
      </c>
      <c r="BB10" s="241"/>
      <c r="BC10" s="241" t="s">
        <v>159</v>
      </c>
      <c r="BD10" s="242"/>
      <c r="BE10" s="243">
        <f>IF((2-BD10/Varz12NLM3)*Varz12TKM3*Varz12VK&gt;0,(2-BD10/Varz12NLM3)*Varz12TKM3*Varz12VK,10)</f>
        <v>1470</v>
      </c>
      <c r="BF10" s="241"/>
      <c r="BG10" s="241"/>
      <c r="BH10" s="242"/>
      <c r="BI10" s="244"/>
      <c r="BJ10" s="241"/>
      <c r="BK10" s="241"/>
      <c r="BL10" s="242"/>
      <c r="BM10" s="244"/>
      <c r="BN10" s="241"/>
      <c r="BO10" s="241"/>
      <c r="BP10" s="242"/>
      <c r="BQ10" s="244"/>
      <c r="BR10" s="241"/>
      <c r="BS10" s="241"/>
      <c r="BT10" s="242"/>
      <c r="BU10" s="244"/>
      <c r="BV10" s="241"/>
      <c r="BW10" s="241" t="s">
        <v>159</v>
      </c>
      <c r="BX10" s="242"/>
      <c r="BY10" s="243">
        <f>IF((2-BX10/Varz17NLM3)*Varz17TKM3*Varz17VK&gt;0,(2-BX10/Varz17NLM3)*Varz17TKM3*Varz17VK,10)</f>
        <v>1470</v>
      </c>
      <c r="BZ10" s="241"/>
      <c r="CA10" s="241" t="s">
        <v>159</v>
      </c>
      <c r="CB10" s="242"/>
      <c r="CC10" s="243">
        <f>IF((2-CB10/Varz18NLM3)*Varz18TKM3*Varz18VK&gt;0,(2-CB10/Varz18NLM3)*Varz18TKM3*Varz18VK,10)</f>
        <v>1470</v>
      </c>
      <c r="CD10" s="246"/>
      <c r="CE10" s="246" t="s">
        <v>159</v>
      </c>
      <c r="CF10" s="247"/>
      <c r="CG10" s="243">
        <f>IF((2-CF10/Varz20NLM3)*Varz20TKM3*Varz20VK&gt;0,(2-CF10/Varz20NLM3)*Varz20TKM3*Varz20VK,10)</f>
        <v>1386</v>
      </c>
      <c r="CH10" s="246"/>
      <c r="CI10" s="246"/>
      <c r="CJ10" s="247"/>
      <c r="CK10" s="243"/>
      <c r="CL10" s="246"/>
      <c r="CM10" s="246" t="s">
        <v>159</v>
      </c>
      <c r="CN10" s="247"/>
      <c r="CO10" s="243">
        <f>IF((2-CN10/Varz22NLM3)*Varz22TKM3*Varz22VK&gt;0,(2-CN10/Varz22NLM3)*Varz22TKM3*Varz22VK,10)</f>
        <v>1400</v>
      </c>
      <c r="CP10" s="246"/>
      <c r="CQ10" s="246"/>
      <c r="CR10" s="247"/>
      <c r="CS10" s="243"/>
      <c r="CT10" s="246"/>
      <c r="CU10" s="246"/>
      <c r="CV10" s="247"/>
      <c r="CW10" s="243"/>
      <c r="CX10" s="246"/>
      <c r="CY10" s="246"/>
      <c r="CZ10" s="247"/>
      <c r="DA10" s="243"/>
      <c r="DB10" s="246"/>
      <c r="DC10" s="246"/>
      <c r="DD10" s="247"/>
      <c r="DE10" s="243"/>
    </row>
    <row r="11" spans="3:109" s="230" customFormat="1" ht="12.75" customHeight="1" hidden="1">
      <c r="C11" s="231"/>
      <c r="D11" s="231"/>
      <c r="E11" s="231"/>
      <c r="F11" s="552"/>
      <c r="G11" s="233"/>
      <c r="H11" s="233"/>
      <c r="I11" s="233"/>
      <c r="J11" s="234"/>
      <c r="K11" s="232"/>
      <c r="L11" s="235"/>
      <c r="M11" s="236"/>
      <c r="N11" s="232"/>
      <c r="O11" s="232"/>
      <c r="P11" s="237"/>
      <c r="Q11" s="238"/>
      <c r="R11" s="232"/>
      <c r="S11" s="232"/>
      <c r="T11" s="237"/>
      <c r="U11" s="238"/>
      <c r="V11" s="232"/>
      <c r="W11" s="232"/>
      <c r="X11" s="237"/>
      <c r="Y11" s="238"/>
      <c r="Z11" s="232"/>
      <c r="AA11" s="232" t="s">
        <v>174</v>
      </c>
      <c r="AB11" s="239"/>
      <c r="AC11" s="243">
        <f>IF((2-AB11/Varz5NLM4)*Varz5TKM4*Varz5VK&gt;0,(2-AB11/Varz5NLM4)*Varz5TKM4*Varz5VK,10)</f>
        <v>1323</v>
      </c>
      <c r="AD11" s="232"/>
      <c r="AE11" s="232" t="s">
        <v>174</v>
      </c>
      <c r="AF11" s="239"/>
      <c r="AG11" s="243">
        <f>IF((2-AF11/Varz6NLM4)*Varz6TKM4*Varz6VK&gt;0,(2-AF11/Varz6NLM4)*Varz6TKM4*Varz6VK,10)</f>
        <v>1323</v>
      </c>
      <c r="AH11" s="232"/>
      <c r="AI11" s="232" t="s">
        <v>174</v>
      </c>
      <c r="AJ11" s="239"/>
      <c r="AK11" s="240">
        <f>IF((2-AJ11/Varz7NLM4)*Varz7TKM4*Varz7VK&gt;0,(2-AJ11/Varz7NLM4)*Varz7TKM4*Varz7VK,10)</f>
        <v>1323</v>
      </c>
      <c r="AL11" s="241"/>
      <c r="AM11" s="241"/>
      <c r="AN11" s="242"/>
      <c r="AO11" s="243">
        <f>IF((2-AN11/Varz8NLM4)*Varz8TKM4*Varz8VK&gt;0,(2-AN11/Varz8NLM4)*Varz8TKM4*Varz8VK,10)</f>
        <v>1386</v>
      </c>
      <c r="AP11" s="241"/>
      <c r="AQ11" s="241"/>
      <c r="AR11" s="242"/>
      <c r="AS11" s="243">
        <f>IF((2-AR11/Varz9NLM4)*Varz9TKM4*Varz9VK&gt;0,(2-AR11/Varz9NLM4)*Varz9TKM4*Varz9VK,10)</f>
        <v>1320</v>
      </c>
      <c r="AT11" s="241"/>
      <c r="AU11" s="241"/>
      <c r="AV11" s="242"/>
      <c r="AW11" s="244"/>
      <c r="AX11" s="241"/>
      <c r="AY11" s="241"/>
      <c r="AZ11" s="242"/>
      <c r="BA11" s="244"/>
      <c r="BB11" s="241"/>
      <c r="BC11" s="241"/>
      <c r="BD11" s="242"/>
      <c r="BE11" s="244"/>
      <c r="BF11" s="241"/>
      <c r="BG11" s="241"/>
      <c r="BH11" s="242"/>
      <c r="BI11" s="244"/>
      <c r="BJ11" s="241"/>
      <c r="BK11" s="241"/>
      <c r="BL11" s="242"/>
      <c r="BM11" s="244"/>
      <c r="BN11" s="241"/>
      <c r="BO11" s="241"/>
      <c r="BP11" s="242"/>
      <c r="BQ11" s="244"/>
      <c r="BR11" s="241"/>
      <c r="BS11" s="241"/>
      <c r="BT11" s="242"/>
      <c r="BU11" s="244"/>
      <c r="BV11" s="241"/>
      <c r="BW11" s="241"/>
      <c r="BX11" s="242"/>
      <c r="BY11" s="244"/>
      <c r="BZ11" s="241"/>
      <c r="CA11" s="241"/>
      <c r="CB11" s="242"/>
      <c r="CC11" s="244"/>
      <c r="CD11" s="246"/>
      <c r="CE11" s="246" t="s">
        <v>174</v>
      </c>
      <c r="CF11" s="247"/>
      <c r="CG11" s="243">
        <f>IF((2-CF11/Varz20NLM4)*Varz20TKM4*Varz20VK&gt;0,(2-CF11/Varz20NLM4)*Varz20TKM4*Varz20VK,10)</f>
        <v>1320</v>
      </c>
      <c r="CH11" s="246"/>
      <c r="CI11" s="246"/>
      <c r="CJ11" s="247"/>
      <c r="CK11" s="245"/>
      <c r="CL11" s="246"/>
      <c r="CM11" s="246"/>
      <c r="CN11" s="247"/>
      <c r="CO11" s="245"/>
      <c r="CP11" s="246"/>
      <c r="CQ11" s="246"/>
      <c r="CR11" s="247"/>
      <c r="CS11" s="245"/>
      <c r="CT11" s="246"/>
      <c r="CU11" s="246"/>
      <c r="CV11" s="247"/>
      <c r="CW11" s="245"/>
      <c r="CX11" s="248"/>
      <c r="CY11" s="248"/>
      <c r="CZ11" s="249"/>
      <c r="DA11" s="250"/>
      <c r="DB11" s="248"/>
      <c r="DC11" s="248"/>
      <c r="DD11" s="249"/>
      <c r="DE11" s="250"/>
    </row>
    <row r="12" spans="3:109" s="230" customFormat="1" ht="12.75" customHeight="1" hidden="1">
      <c r="C12" s="231"/>
      <c r="D12" s="231"/>
      <c r="E12" s="231"/>
      <c r="F12" s="552"/>
      <c r="G12" s="233"/>
      <c r="H12" s="233"/>
      <c r="I12" s="233"/>
      <c r="J12" s="234"/>
      <c r="K12" s="232"/>
      <c r="L12" s="235"/>
      <c r="M12" s="236"/>
      <c r="N12" s="232"/>
      <c r="O12" s="232"/>
      <c r="P12" s="237"/>
      <c r="Q12" s="238"/>
      <c r="R12" s="232"/>
      <c r="S12" s="232"/>
      <c r="T12" s="237"/>
      <c r="U12" s="238"/>
      <c r="V12" s="232"/>
      <c r="W12" s="232"/>
      <c r="X12" s="237"/>
      <c r="Y12" s="238"/>
      <c r="Z12" s="232"/>
      <c r="AA12" s="232"/>
      <c r="AB12" s="239"/>
      <c r="AD12" s="232"/>
      <c r="AE12" s="232"/>
      <c r="AF12" s="239"/>
      <c r="AG12" s="251"/>
      <c r="AH12" s="232"/>
      <c r="AI12" s="232"/>
      <c r="AJ12" s="239"/>
      <c r="AK12" s="251"/>
      <c r="AL12" s="241"/>
      <c r="AM12" s="241"/>
      <c r="AN12" s="242"/>
      <c r="AO12" s="243">
        <f>IF((2-AN12/Varz8NLM5)*Varz8TKM5*Varz8VK&gt;0,(2-AN12/Varz8NLM5)*Varz8TKM5*Varz8VK,10)</f>
        <v>1320</v>
      </c>
      <c r="AP12" s="241"/>
      <c r="AQ12" s="241"/>
      <c r="AR12" s="242"/>
      <c r="AS12" s="244"/>
      <c r="AT12" s="241"/>
      <c r="AU12" s="241"/>
      <c r="AV12" s="242"/>
      <c r="AW12" s="244"/>
      <c r="AX12" s="241"/>
      <c r="AY12" s="241"/>
      <c r="AZ12" s="242"/>
      <c r="BA12" s="244"/>
      <c r="BB12" s="241"/>
      <c r="BC12" s="241"/>
      <c r="BD12" s="242"/>
      <c r="BE12" s="244"/>
      <c r="BF12" s="241"/>
      <c r="BG12" s="241"/>
      <c r="BH12" s="242"/>
      <c r="BI12" s="244"/>
      <c r="BJ12" s="241"/>
      <c r="BK12" s="241"/>
      <c r="BL12" s="242"/>
      <c r="BM12" s="244"/>
      <c r="BN12" s="241"/>
      <c r="BO12" s="241"/>
      <c r="BP12" s="242"/>
      <c r="BQ12" s="244"/>
      <c r="BR12" s="241"/>
      <c r="BS12" s="241"/>
      <c r="BT12" s="242"/>
      <c r="BU12" s="244"/>
      <c r="BV12" s="241"/>
      <c r="BW12" s="241"/>
      <c r="BX12" s="242"/>
      <c r="BY12" s="244"/>
      <c r="BZ12" s="241"/>
      <c r="CA12" s="241"/>
      <c r="CB12" s="242"/>
      <c r="CC12" s="244"/>
      <c r="CD12" s="246"/>
      <c r="CE12" s="246"/>
      <c r="CF12" s="247"/>
      <c r="CG12" s="245"/>
      <c r="CH12" s="246"/>
      <c r="CI12" s="246"/>
      <c r="CJ12" s="247"/>
      <c r="CK12" s="245"/>
      <c r="CL12" s="246"/>
      <c r="CM12" s="246"/>
      <c r="CN12" s="247"/>
      <c r="CO12" s="245"/>
      <c r="CP12" s="246"/>
      <c r="CQ12" s="246"/>
      <c r="CR12" s="247"/>
      <c r="CS12" s="245"/>
      <c r="CT12" s="246"/>
      <c r="CU12" s="246"/>
      <c r="CV12" s="247"/>
      <c r="CW12" s="245"/>
      <c r="CX12" s="248"/>
      <c r="CY12" s="248"/>
      <c r="CZ12" s="249"/>
      <c r="DA12" s="250"/>
      <c r="DB12" s="248"/>
      <c r="DC12" s="248"/>
      <c r="DD12" s="249"/>
      <c r="DE12" s="250"/>
    </row>
    <row r="13" ht="4.5" customHeight="1" hidden="1"/>
    <row r="14" spans="1:109" ht="12.75">
      <c r="A14" s="253">
        <v>1</v>
      </c>
      <c r="B14" s="254" t="s">
        <v>86</v>
      </c>
      <c r="C14" s="193" t="s">
        <v>10</v>
      </c>
      <c r="D14" s="193" t="s">
        <v>21</v>
      </c>
      <c r="F14" s="548">
        <v>1994</v>
      </c>
      <c r="G14" s="255">
        <f>H14-BM14-AG14-AC14-Q14-CG14-BQ14-DE14</f>
        <v>12337.23162598399</v>
      </c>
      <c r="H14" s="256">
        <f aca="true" t="shared" si="0" ref="H14:H45">M14+Q14+U14+Y14+AC14+AG14+AK14+AO14+AS14+AW14+BA14+BE14+BI14+BM14+BQ14+BU14+BY14+CC14+CG14+CK14+CO14+CS14+CW14+DA14+DE14</f>
        <v>15975.035294386305</v>
      </c>
      <c r="I14" s="257">
        <v>19</v>
      </c>
      <c r="J14" s="274" t="s">
        <v>404</v>
      </c>
      <c r="K14" s="274" t="s">
        <v>3</v>
      </c>
      <c r="L14" s="273">
        <v>0.029212962962962965</v>
      </c>
      <c r="M14" s="93">
        <v>1000</v>
      </c>
      <c r="N14" s="274" t="s">
        <v>418</v>
      </c>
      <c r="O14" s="274" t="s">
        <v>3</v>
      </c>
      <c r="P14" s="275">
        <v>0.0528587962962963</v>
      </c>
      <c r="Q14" s="550">
        <v>905.0587389115319</v>
      </c>
      <c r="R14" s="274" t="s">
        <v>387</v>
      </c>
      <c r="S14" s="274" t="s">
        <v>3</v>
      </c>
      <c r="T14" s="275">
        <v>0.05586805555555555</v>
      </c>
      <c r="U14" s="93">
        <v>1000</v>
      </c>
      <c r="V14" s="274" t="s">
        <v>387</v>
      </c>
      <c r="W14" s="274" t="s">
        <v>3</v>
      </c>
      <c r="X14" s="275">
        <v>0.04474537037037037</v>
      </c>
      <c r="Y14" s="93">
        <v>1000</v>
      </c>
      <c r="Z14" s="274" t="s">
        <v>493</v>
      </c>
      <c r="AA14" s="274" t="s">
        <v>3</v>
      </c>
      <c r="AB14" s="276" t="s">
        <v>358</v>
      </c>
      <c r="AC14" s="550">
        <v>0</v>
      </c>
      <c r="AD14" s="274" t="s">
        <v>493</v>
      </c>
      <c r="AE14" s="274" t="s">
        <v>3</v>
      </c>
      <c r="AF14" s="276" t="s">
        <v>358</v>
      </c>
      <c r="AG14" s="550">
        <v>0</v>
      </c>
      <c r="AH14" s="274" t="s">
        <v>493</v>
      </c>
      <c r="AI14" s="274" t="s">
        <v>3</v>
      </c>
      <c r="AJ14" s="188">
        <v>0.0418287037037037</v>
      </c>
      <c r="AK14" s="36">
        <v>1050</v>
      </c>
      <c r="AL14" s="277" t="s">
        <v>377</v>
      </c>
      <c r="AM14" s="277" t="s">
        <v>3</v>
      </c>
      <c r="AN14" s="188">
        <v>0.08208333333333334</v>
      </c>
      <c r="AO14" s="93">
        <v>1065.6100043623671</v>
      </c>
      <c r="AP14" s="277" t="s">
        <v>377</v>
      </c>
      <c r="AQ14" s="277" t="s">
        <v>3</v>
      </c>
      <c r="AR14" s="188">
        <v>0.021689814814814815</v>
      </c>
      <c r="AS14" s="93">
        <v>1100</v>
      </c>
      <c r="AT14" s="277" t="s">
        <v>656</v>
      </c>
      <c r="AU14" s="277" t="s">
        <v>3</v>
      </c>
      <c r="AV14" s="188">
        <v>0.02111111111111111</v>
      </c>
      <c r="AW14" s="93">
        <v>1021.6216216216217</v>
      </c>
      <c r="AX14" s="277" t="s">
        <v>656</v>
      </c>
      <c r="AY14" s="277" t="s">
        <v>3</v>
      </c>
      <c r="AZ14" s="188">
        <v>0.03488425925925926</v>
      </c>
      <c r="BA14" s="93">
        <v>1050</v>
      </c>
      <c r="BB14" s="277" t="s">
        <v>656</v>
      </c>
      <c r="BC14" s="277" t="s">
        <v>3</v>
      </c>
      <c r="BD14" s="188">
        <v>0.040428240740740744</v>
      </c>
      <c r="BE14" s="93">
        <v>1050</v>
      </c>
      <c r="BF14" s="277" t="s">
        <v>759</v>
      </c>
      <c r="BG14" s="277" t="s">
        <v>3</v>
      </c>
      <c r="BH14" s="188">
        <v>0.02871527777777778</v>
      </c>
      <c r="BI14" s="93">
        <v>1000</v>
      </c>
      <c r="BJ14" s="277" t="s">
        <v>759</v>
      </c>
      <c r="BK14" s="277" t="s">
        <v>3</v>
      </c>
      <c r="BL14" s="188">
        <v>0.012013888888888888</v>
      </c>
      <c r="BM14" s="550">
        <v>941.8960244648317</v>
      </c>
      <c r="BN14" s="277" t="s">
        <v>759</v>
      </c>
      <c r="BO14" s="277" t="s">
        <v>3</v>
      </c>
      <c r="BP14" s="188">
        <v>0.051284722222222225</v>
      </c>
      <c r="BQ14" s="550">
        <v>973.3549582947172</v>
      </c>
      <c r="BR14" s="277" t="s">
        <v>759</v>
      </c>
      <c r="BS14" s="277" t="s">
        <v>3</v>
      </c>
      <c r="BT14" s="188">
        <v>0.03236111111111111</v>
      </c>
      <c r="BU14" s="93">
        <v>1000</v>
      </c>
      <c r="BV14" s="274"/>
      <c r="BW14" s="274"/>
      <c r="BX14" s="273"/>
      <c r="BY14" s="93"/>
      <c r="BZ14" s="274"/>
      <c r="CA14" s="274"/>
      <c r="CB14" s="273"/>
      <c r="CC14" s="93"/>
      <c r="CD14" s="277" t="s">
        <v>237</v>
      </c>
      <c r="CE14" s="277" t="s">
        <v>3</v>
      </c>
      <c r="CF14" s="276" t="s">
        <v>358</v>
      </c>
      <c r="CG14" s="550">
        <v>0</v>
      </c>
      <c r="CH14" s="274"/>
      <c r="CI14" s="274"/>
      <c r="CJ14" s="273"/>
      <c r="CK14" s="93"/>
      <c r="CL14" s="274"/>
      <c r="CM14" s="274"/>
      <c r="CN14" s="273"/>
      <c r="CO14" s="93"/>
      <c r="CP14" s="274"/>
      <c r="CQ14" s="274"/>
      <c r="CR14" s="273"/>
      <c r="CS14" s="93"/>
      <c r="CT14" s="274"/>
      <c r="CU14" s="274"/>
      <c r="CV14" s="273"/>
      <c r="CW14" s="93"/>
      <c r="CX14" s="274" t="s">
        <v>493</v>
      </c>
      <c r="CY14" s="274" t="s">
        <v>3</v>
      </c>
      <c r="CZ14" s="273">
        <v>0.0465625</v>
      </c>
      <c r="DA14" s="93">
        <v>1000</v>
      </c>
      <c r="DB14" s="274" t="s">
        <v>493</v>
      </c>
      <c r="DC14" s="274" t="s">
        <v>3</v>
      </c>
      <c r="DD14" s="273">
        <v>0.04521990740740741</v>
      </c>
      <c r="DE14" s="550">
        <v>817.4939467312348</v>
      </c>
    </row>
    <row r="15" spans="1:109" ht="12.75">
      <c r="A15" s="253">
        <v>2</v>
      </c>
      <c r="B15" s="259" t="s">
        <v>287</v>
      </c>
      <c r="C15" s="193" t="s">
        <v>10</v>
      </c>
      <c r="D15" s="193" t="s">
        <v>45</v>
      </c>
      <c r="F15" s="190">
        <v>1992</v>
      </c>
      <c r="G15" s="255">
        <f>H15-Y15-AK15-BI15-BU15-M15-DA15-AC15</f>
        <v>12280.980586293494</v>
      </c>
      <c r="H15" s="256">
        <f t="shared" si="0"/>
        <v>18873.343357253238</v>
      </c>
      <c r="I15" s="257">
        <v>19</v>
      </c>
      <c r="J15" s="277" t="s">
        <v>404</v>
      </c>
      <c r="K15" s="277" t="s">
        <v>3</v>
      </c>
      <c r="L15" s="278">
        <v>0.030034722222222223</v>
      </c>
      <c r="M15" s="550">
        <v>971.8700475435818</v>
      </c>
      <c r="N15" s="274" t="s">
        <v>418</v>
      </c>
      <c r="O15" s="274" t="s">
        <v>3</v>
      </c>
      <c r="P15" s="275">
        <v>0.04827546296296296</v>
      </c>
      <c r="Q15" s="93">
        <v>1000</v>
      </c>
      <c r="R15" s="274" t="s">
        <v>387</v>
      </c>
      <c r="S15" s="274" t="s">
        <v>3</v>
      </c>
      <c r="T15" s="275">
        <v>0.05630787037037036</v>
      </c>
      <c r="U15" s="93">
        <v>992.1276154961676</v>
      </c>
      <c r="V15" s="274" t="s">
        <v>387</v>
      </c>
      <c r="W15" s="274" t="s">
        <v>3</v>
      </c>
      <c r="X15" s="275">
        <v>0.046504629629629625</v>
      </c>
      <c r="Y15" s="550">
        <v>960.6828763579929</v>
      </c>
      <c r="Z15" s="274" t="s">
        <v>493</v>
      </c>
      <c r="AA15" s="274" t="s">
        <v>3</v>
      </c>
      <c r="AB15" s="188">
        <v>0.014259259259259261</v>
      </c>
      <c r="AC15" s="550">
        <v>983.8654012079377</v>
      </c>
      <c r="AD15" s="274" t="s">
        <v>493</v>
      </c>
      <c r="AE15" s="274" t="s">
        <v>3</v>
      </c>
      <c r="AF15" s="188">
        <v>0.05873842592592593</v>
      </c>
      <c r="AG15" s="36">
        <v>984.9654739485246</v>
      </c>
      <c r="AH15" s="274" t="s">
        <v>493</v>
      </c>
      <c r="AI15" s="274" t="s">
        <v>3</v>
      </c>
      <c r="AJ15" s="188">
        <v>0.04636574074074074</v>
      </c>
      <c r="AK15" s="550">
        <v>936.109573879358</v>
      </c>
      <c r="AL15" s="277" t="s">
        <v>377</v>
      </c>
      <c r="AM15" s="277" t="s">
        <v>3</v>
      </c>
      <c r="AN15" s="188">
        <v>0.0795949074074074</v>
      </c>
      <c r="AO15" s="93">
        <v>1100</v>
      </c>
      <c r="AP15" s="277" t="s">
        <v>377</v>
      </c>
      <c r="AQ15" s="277" t="s">
        <v>3</v>
      </c>
      <c r="AR15" s="188">
        <v>0.02207175925925926</v>
      </c>
      <c r="AS15" s="93">
        <v>1080.6296691568837</v>
      </c>
      <c r="AT15" s="277" t="s">
        <v>656</v>
      </c>
      <c r="AU15" s="277" t="s">
        <v>3</v>
      </c>
      <c r="AV15" s="188">
        <v>0.020555555555555556</v>
      </c>
      <c r="AW15" s="93">
        <v>1050</v>
      </c>
      <c r="AX15" s="277" t="s">
        <v>656</v>
      </c>
      <c r="AY15" s="277" t="s">
        <v>3</v>
      </c>
      <c r="AZ15" s="188">
        <v>0.036238425925925924</v>
      </c>
      <c r="BA15" s="93">
        <v>1009.2402123424023</v>
      </c>
      <c r="BB15" s="277" t="s">
        <v>656</v>
      </c>
      <c r="BC15" s="277" t="s">
        <v>3</v>
      </c>
      <c r="BD15" s="188">
        <v>0.04173611111111111</v>
      </c>
      <c r="BE15" s="93">
        <v>1016.0320641282566</v>
      </c>
      <c r="BF15" s="277" t="s">
        <v>759</v>
      </c>
      <c r="BG15" s="277" t="s">
        <v>3</v>
      </c>
      <c r="BH15" s="188">
        <v>0.030162037037037032</v>
      </c>
      <c r="BI15" s="550">
        <v>949.617089883112</v>
      </c>
      <c r="BJ15" s="277" t="s">
        <v>759</v>
      </c>
      <c r="BK15" s="277" t="s">
        <v>3</v>
      </c>
      <c r="BL15" s="188">
        <v>0.011354166666666667</v>
      </c>
      <c r="BM15" s="93">
        <v>1000</v>
      </c>
      <c r="BN15" s="277" t="s">
        <v>759</v>
      </c>
      <c r="BO15" s="277" t="s">
        <v>3</v>
      </c>
      <c r="BP15" s="188">
        <v>0.0499537037037037</v>
      </c>
      <c r="BQ15" s="93">
        <v>1000</v>
      </c>
      <c r="BR15" s="277" t="s">
        <v>759</v>
      </c>
      <c r="BS15" s="277" t="s">
        <v>3</v>
      </c>
      <c r="BT15" s="188">
        <v>0.03681712962962963</v>
      </c>
      <c r="BU15" s="550">
        <v>862.3032904148785</v>
      </c>
      <c r="BV15" s="274"/>
      <c r="BW15" s="274"/>
      <c r="BX15" s="273"/>
      <c r="BY15" s="93"/>
      <c r="BZ15" s="274"/>
      <c r="CA15" s="274"/>
      <c r="CB15" s="273"/>
      <c r="CC15" s="93"/>
      <c r="CD15" s="277" t="s">
        <v>237</v>
      </c>
      <c r="CE15" s="277" t="s">
        <v>3</v>
      </c>
      <c r="CF15" s="279">
        <v>0.037442129629629624</v>
      </c>
      <c r="CG15" s="93">
        <v>1049.4988684125444</v>
      </c>
      <c r="CH15" s="274"/>
      <c r="CI15" s="274"/>
      <c r="CJ15" s="273"/>
      <c r="CK15" s="93"/>
      <c r="CL15" s="274"/>
      <c r="CM15" s="274"/>
      <c r="CN15" s="273"/>
      <c r="CO15" s="93"/>
      <c r="CP15" s="274"/>
      <c r="CQ15" s="274"/>
      <c r="CR15" s="273"/>
      <c r="CS15" s="93"/>
      <c r="CT15" s="274"/>
      <c r="CU15" s="274"/>
      <c r="CV15" s="273"/>
      <c r="CW15" s="93"/>
      <c r="CX15" s="274" t="s">
        <v>493</v>
      </c>
      <c r="CY15" s="274" t="s">
        <v>3</v>
      </c>
      <c r="CZ15" s="273">
        <v>0.049918981481481474</v>
      </c>
      <c r="DA15" s="550">
        <v>927.914491672881</v>
      </c>
      <c r="DB15" s="274" t="s">
        <v>493</v>
      </c>
      <c r="DC15" s="274" t="s">
        <v>3</v>
      </c>
      <c r="DD15" s="273">
        <v>0.03829861111111111</v>
      </c>
      <c r="DE15" s="93">
        <v>998.4866828087166</v>
      </c>
    </row>
    <row r="16" spans="1:109" ht="12.75">
      <c r="A16" s="253">
        <v>3</v>
      </c>
      <c r="B16" s="259" t="s">
        <v>355</v>
      </c>
      <c r="C16" s="193" t="s">
        <v>10</v>
      </c>
      <c r="D16" s="193" t="s">
        <v>11</v>
      </c>
      <c r="F16" s="190">
        <v>1985</v>
      </c>
      <c r="G16" s="255">
        <f>H16-BU16-AK16-M16-AC16-BA16-AG16-AW16</f>
        <v>12104.995900792272</v>
      </c>
      <c r="H16" s="256">
        <f t="shared" si="0"/>
        <v>18719.83249048166</v>
      </c>
      <c r="I16" s="257">
        <v>19</v>
      </c>
      <c r="J16" s="280" t="s">
        <v>404</v>
      </c>
      <c r="K16" s="274" t="s">
        <v>3</v>
      </c>
      <c r="L16" s="275">
        <v>0.030671296296296294</v>
      </c>
      <c r="M16" s="550">
        <v>950.0792393026942</v>
      </c>
      <c r="N16" s="274" t="s">
        <v>418</v>
      </c>
      <c r="O16" s="274" t="s">
        <v>3</v>
      </c>
      <c r="P16" s="275">
        <v>0.048414351851851854</v>
      </c>
      <c r="Q16" s="93">
        <v>997.1229920882281</v>
      </c>
      <c r="R16" s="274"/>
      <c r="S16" s="274"/>
      <c r="T16" s="281"/>
      <c r="U16" s="93"/>
      <c r="V16" s="274"/>
      <c r="W16" s="274"/>
      <c r="X16" s="281"/>
      <c r="Y16" s="93"/>
      <c r="Z16" s="274" t="s">
        <v>493</v>
      </c>
      <c r="AA16" s="274" t="s">
        <v>3</v>
      </c>
      <c r="AB16" s="188">
        <v>0.014513888888888889</v>
      </c>
      <c r="AC16" s="550">
        <v>963.9344262295082</v>
      </c>
      <c r="AD16" s="274" t="s">
        <v>493</v>
      </c>
      <c r="AE16" s="274" t="s">
        <v>3</v>
      </c>
      <c r="AF16" s="188">
        <v>0.059710648148148145</v>
      </c>
      <c r="AG16" s="550">
        <v>966.509730069052</v>
      </c>
      <c r="AH16" s="274" t="s">
        <v>493</v>
      </c>
      <c r="AI16" s="274" t="s">
        <v>3</v>
      </c>
      <c r="AJ16" s="188">
        <v>0.04798611111111111</v>
      </c>
      <c r="AK16" s="550">
        <v>895.4344216934144</v>
      </c>
      <c r="AL16" s="277" t="s">
        <v>377</v>
      </c>
      <c r="AM16" s="277" t="s">
        <v>3</v>
      </c>
      <c r="AN16" s="188">
        <v>0.08201388888888889</v>
      </c>
      <c r="AO16" s="93">
        <v>1066.5697251708596</v>
      </c>
      <c r="AP16" s="277" t="s">
        <v>377</v>
      </c>
      <c r="AQ16" s="277" t="s">
        <v>3</v>
      </c>
      <c r="AR16" s="188">
        <v>0.0234375</v>
      </c>
      <c r="AS16" s="93">
        <v>1011.36606189968</v>
      </c>
      <c r="AT16" s="277" t="s">
        <v>656</v>
      </c>
      <c r="AU16" s="277" t="s">
        <v>3</v>
      </c>
      <c r="AV16" s="188">
        <v>0.02217592592592593</v>
      </c>
      <c r="AW16" s="550">
        <v>967.2297297297296</v>
      </c>
      <c r="AX16" s="277" t="s">
        <v>656</v>
      </c>
      <c r="AY16" s="277" t="s">
        <v>3</v>
      </c>
      <c r="AZ16" s="188">
        <v>0.03770833333333333</v>
      </c>
      <c r="BA16" s="550">
        <v>964.996682149967</v>
      </c>
      <c r="BB16" s="277" t="s">
        <v>656</v>
      </c>
      <c r="BC16" s="277" t="s">
        <v>3</v>
      </c>
      <c r="BD16" s="188">
        <v>0.04304398148148148</v>
      </c>
      <c r="BE16" s="93">
        <v>982.0641282565132</v>
      </c>
      <c r="BF16" s="277"/>
      <c r="BG16" s="277"/>
      <c r="BH16" s="277"/>
      <c r="BI16" s="93"/>
      <c r="BJ16" s="277"/>
      <c r="BK16" s="277"/>
      <c r="BL16" s="277"/>
      <c r="BM16" s="93"/>
      <c r="BN16" s="277" t="s">
        <v>759</v>
      </c>
      <c r="BO16" s="277" t="s">
        <v>3</v>
      </c>
      <c r="BP16" s="188">
        <v>0.051388888888888894</v>
      </c>
      <c r="BQ16" s="93">
        <v>971.2696941612602</v>
      </c>
      <c r="BR16" s="277" t="s">
        <v>759</v>
      </c>
      <c r="BS16" s="277" t="s">
        <v>3</v>
      </c>
      <c r="BT16" s="188">
        <v>0.035381944444444445</v>
      </c>
      <c r="BU16" s="550">
        <v>906.6523605150214</v>
      </c>
      <c r="BV16" s="277" t="s">
        <v>756</v>
      </c>
      <c r="BW16" s="277" t="s">
        <v>3</v>
      </c>
      <c r="BX16" s="188">
        <v>0.03408564814814815</v>
      </c>
      <c r="BY16" s="93">
        <v>1050</v>
      </c>
      <c r="BZ16" s="277" t="s">
        <v>756</v>
      </c>
      <c r="CA16" s="277" t="s">
        <v>3</v>
      </c>
      <c r="CB16" s="188">
        <v>0.062349537037037044</v>
      </c>
      <c r="CC16" s="93">
        <v>1050</v>
      </c>
      <c r="CD16" s="277" t="s">
        <v>237</v>
      </c>
      <c r="CE16" s="277" t="s">
        <v>3</v>
      </c>
      <c r="CF16" s="279">
        <v>0.03881944444444444</v>
      </c>
      <c r="CG16" s="93">
        <v>1007.1774975751698</v>
      </c>
      <c r="CH16" s="274"/>
      <c r="CI16" s="274"/>
      <c r="CJ16" s="281"/>
      <c r="CK16" s="93"/>
      <c r="CL16" s="274"/>
      <c r="CM16" s="274"/>
      <c r="CN16" s="281"/>
      <c r="CO16" s="93"/>
      <c r="CP16" s="274" t="s">
        <v>853</v>
      </c>
      <c r="CQ16" s="274" t="s">
        <v>3</v>
      </c>
      <c r="CR16" s="275">
        <v>0.03045138888888889</v>
      </c>
      <c r="CS16" s="93">
        <v>1000</v>
      </c>
      <c r="CT16" s="274" t="s">
        <v>853</v>
      </c>
      <c r="CU16" s="274" t="s">
        <v>3</v>
      </c>
      <c r="CV16" s="275">
        <v>0.014409722222222221</v>
      </c>
      <c r="CW16" s="93">
        <v>1000</v>
      </c>
      <c r="CX16" s="274" t="s">
        <v>493</v>
      </c>
      <c r="CY16" s="274" t="s">
        <v>3</v>
      </c>
      <c r="CZ16" s="275">
        <v>0.04798611111111111</v>
      </c>
      <c r="DA16" s="93">
        <v>969.4258016405668</v>
      </c>
      <c r="DB16" s="274" t="s">
        <v>493</v>
      </c>
      <c r="DC16" s="274" t="s">
        <v>3</v>
      </c>
      <c r="DD16" s="275">
        <v>0.03824074074074074</v>
      </c>
      <c r="DE16" s="93">
        <v>1000</v>
      </c>
    </row>
    <row r="17" spans="1:109" ht="12.75">
      <c r="A17" s="253">
        <v>4</v>
      </c>
      <c r="B17" s="259" t="s">
        <v>26</v>
      </c>
      <c r="C17" s="193" t="s">
        <v>10</v>
      </c>
      <c r="D17" s="193" t="s">
        <v>27</v>
      </c>
      <c r="F17" s="190">
        <v>1977</v>
      </c>
      <c r="G17" s="255">
        <f>H17-AS17-AG17-DA17-BQ17</f>
        <v>10485.771658524885</v>
      </c>
      <c r="H17" s="256">
        <f t="shared" si="0"/>
        <v>12918.821356926135</v>
      </c>
      <c r="I17" s="257">
        <v>16</v>
      </c>
      <c r="J17" s="274" t="s">
        <v>404</v>
      </c>
      <c r="K17" s="274" t="s">
        <v>3</v>
      </c>
      <c r="L17" s="273">
        <v>0.03320601851851852</v>
      </c>
      <c r="M17" s="93">
        <v>863.312202852615</v>
      </c>
      <c r="N17" s="274"/>
      <c r="O17" s="274"/>
      <c r="P17" s="281"/>
      <c r="Q17" s="93"/>
      <c r="R17" s="274"/>
      <c r="S17" s="274"/>
      <c r="T17" s="275"/>
      <c r="U17" s="93"/>
      <c r="V17" s="274"/>
      <c r="W17" s="274"/>
      <c r="X17" s="281"/>
      <c r="Y17" s="93"/>
      <c r="Z17" s="274" t="s">
        <v>493</v>
      </c>
      <c r="AA17" s="274" t="s">
        <v>3</v>
      </c>
      <c r="AB17" s="188">
        <v>0.016805555555555556</v>
      </c>
      <c r="AC17" s="36">
        <v>784.555651423641</v>
      </c>
      <c r="AD17" s="274" t="s">
        <v>493</v>
      </c>
      <c r="AE17" s="274" t="s">
        <v>3</v>
      </c>
      <c r="AF17" s="188">
        <v>0.07020833333333333</v>
      </c>
      <c r="AG17" s="550">
        <v>767.231638418079</v>
      </c>
      <c r="AH17" s="274" t="s">
        <v>493</v>
      </c>
      <c r="AI17" s="274" t="s">
        <v>3</v>
      </c>
      <c r="AJ17" s="188">
        <v>0.05115740740740741</v>
      </c>
      <c r="AK17" s="36">
        <v>815.8273381294962</v>
      </c>
      <c r="AL17" s="277" t="s">
        <v>377</v>
      </c>
      <c r="AM17" s="277" t="s">
        <v>3</v>
      </c>
      <c r="AN17" s="188">
        <v>0.09475694444444445</v>
      </c>
      <c r="AO17" s="93">
        <v>890.4609568125637</v>
      </c>
      <c r="AP17" s="277" t="s">
        <v>377</v>
      </c>
      <c r="AQ17" s="277" t="s">
        <v>3</v>
      </c>
      <c r="AR17" s="188">
        <v>0.03986111111111111</v>
      </c>
      <c r="AS17" s="550">
        <v>178.4418356456776</v>
      </c>
      <c r="AT17" s="277" t="s">
        <v>656</v>
      </c>
      <c r="AU17" s="277" t="s">
        <v>3</v>
      </c>
      <c r="AV17" s="188">
        <v>0.023009259259259257</v>
      </c>
      <c r="AW17" s="93">
        <v>924.6621621621624</v>
      </c>
      <c r="AX17" s="277" t="s">
        <v>656</v>
      </c>
      <c r="AY17" s="277" t="s">
        <v>3</v>
      </c>
      <c r="AZ17" s="188">
        <v>0.039641203703703706</v>
      </c>
      <c r="BA17" s="93">
        <v>906.8181818181818</v>
      </c>
      <c r="BB17" s="277" t="s">
        <v>656</v>
      </c>
      <c r="BC17" s="277" t="s">
        <v>3</v>
      </c>
      <c r="BD17" s="188">
        <v>0.04739583333333333</v>
      </c>
      <c r="BE17" s="93">
        <v>869.0380761523047</v>
      </c>
      <c r="BF17" s="277" t="s">
        <v>759</v>
      </c>
      <c r="BG17" s="277" t="s">
        <v>3</v>
      </c>
      <c r="BH17" s="188">
        <v>0.031886574074074074</v>
      </c>
      <c r="BI17" s="93">
        <v>889.5606610237808</v>
      </c>
      <c r="BJ17" s="277" t="s">
        <v>759</v>
      </c>
      <c r="BK17" s="277" t="s">
        <v>3</v>
      </c>
      <c r="BL17" s="188">
        <v>0.012650462962962962</v>
      </c>
      <c r="BM17" s="93">
        <v>885.8307849133538</v>
      </c>
      <c r="BN17" s="277" t="s">
        <v>759</v>
      </c>
      <c r="BO17" s="277" t="s">
        <v>3</v>
      </c>
      <c r="BP17" s="188">
        <v>0.06115740740740741</v>
      </c>
      <c r="BQ17" s="550">
        <v>775.7182576459685</v>
      </c>
      <c r="BR17" s="277" t="s">
        <v>759</v>
      </c>
      <c r="BS17" s="277" t="s">
        <v>3</v>
      </c>
      <c r="BT17" s="188">
        <v>0.03809027777777778</v>
      </c>
      <c r="BU17" s="93">
        <v>822.9613733905578</v>
      </c>
      <c r="BV17" s="274"/>
      <c r="BW17" s="274"/>
      <c r="BX17" s="273"/>
      <c r="BY17" s="93"/>
      <c r="BZ17" s="274"/>
      <c r="CA17" s="274"/>
      <c r="CB17" s="273"/>
      <c r="CC17" s="93"/>
      <c r="CD17" s="277" t="s">
        <v>237</v>
      </c>
      <c r="CE17" s="277" t="s">
        <v>3</v>
      </c>
      <c r="CF17" s="279">
        <v>0.039502314814814816</v>
      </c>
      <c r="CG17" s="93">
        <v>986.1946330423536</v>
      </c>
      <c r="CH17" s="274"/>
      <c r="CI17" s="274"/>
      <c r="CJ17" s="273"/>
      <c r="CK17" s="93"/>
      <c r="CL17" s="274"/>
      <c r="CM17" s="274"/>
      <c r="CN17" s="273"/>
      <c r="CO17" s="93"/>
      <c r="CP17" s="274"/>
      <c r="CQ17" s="274"/>
      <c r="CR17" s="273"/>
      <c r="CS17" s="93"/>
      <c r="CT17" s="274"/>
      <c r="CU17" s="274"/>
      <c r="CV17" s="273"/>
      <c r="CW17" s="93"/>
      <c r="CX17" s="274" t="s">
        <v>493</v>
      </c>
      <c r="CY17" s="274" t="s">
        <v>3</v>
      </c>
      <c r="CZ17" s="273">
        <v>0.059988425925925924</v>
      </c>
      <c r="DA17" s="550">
        <v>711.6579666915237</v>
      </c>
      <c r="DB17" s="274" t="s">
        <v>493</v>
      </c>
      <c r="DC17" s="274" t="s">
        <v>3</v>
      </c>
      <c r="DD17" s="273">
        <v>0.0441087962962963</v>
      </c>
      <c r="DE17" s="93">
        <v>846.549636803874</v>
      </c>
    </row>
    <row r="18" spans="1:109" ht="12.75">
      <c r="A18" s="253">
        <v>5</v>
      </c>
      <c r="B18" s="259" t="s">
        <v>20</v>
      </c>
      <c r="C18" s="193" t="s">
        <v>10</v>
      </c>
      <c r="D18" s="193" t="s">
        <v>21</v>
      </c>
      <c r="F18" s="190">
        <v>1996</v>
      </c>
      <c r="G18" s="255">
        <f>H18-BA18-AW18-AK18-Y18-CG18-DA18-DE18</f>
        <v>10464.036547296517</v>
      </c>
      <c r="H18" s="256">
        <f t="shared" si="0"/>
        <v>14690.541909308922</v>
      </c>
      <c r="I18" s="257">
        <v>19</v>
      </c>
      <c r="J18" s="277" t="s">
        <v>404</v>
      </c>
      <c r="K18" s="277" t="s">
        <v>3</v>
      </c>
      <c r="L18" s="188">
        <v>0.035543981481481475</v>
      </c>
      <c r="M18" s="93">
        <v>783.2805071315377</v>
      </c>
      <c r="N18" s="274" t="s">
        <v>418</v>
      </c>
      <c r="O18" s="274" t="s">
        <v>3</v>
      </c>
      <c r="P18" s="275">
        <v>0.05709490740740741</v>
      </c>
      <c r="Q18" s="93">
        <v>817.3099976024934</v>
      </c>
      <c r="R18" s="274" t="s">
        <v>387</v>
      </c>
      <c r="S18" s="274" t="s">
        <v>3</v>
      </c>
      <c r="T18" s="275">
        <v>0.0597337962962963</v>
      </c>
      <c r="U18" s="93">
        <v>930.8058835715765</v>
      </c>
      <c r="V18" s="274" t="s">
        <v>387</v>
      </c>
      <c r="W18" s="274" t="s">
        <v>3</v>
      </c>
      <c r="X18" s="275">
        <v>0.058275462962962966</v>
      </c>
      <c r="Y18" s="550">
        <v>697.6202793585101</v>
      </c>
      <c r="Z18" s="274" t="s">
        <v>493</v>
      </c>
      <c r="AA18" s="274" t="s">
        <v>3</v>
      </c>
      <c r="AB18" s="188">
        <v>0.015474537037037038</v>
      </c>
      <c r="AC18" s="36">
        <v>888.7402933563416</v>
      </c>
      <c r="AD18" s="274" t="s">
        <v>493</v>
      </c>
      <c r="AE18" s="274" t="s">
        <v>3</v>
      </c>
      <c r="AF18" s="188">
        <v>0.06689814814814815</v>
      </c>
      <c r="AG18" s="36">
        <v>830.0690521029504</v>
      </c>
      <c r="AH18" s="274" t="s">
        <v>493</v>
      </c>
      <c r="AI18" s="274" t="s">
        <v>3</v>
      </c>
      <c r="AJ18" s="276" t="s">
        <v>358</v>
      </c>
      <c r="AK18" s="550">
        <v>0</v>
      </c>
      <c r="AL18" s="277" t="s">
        <v>377</v>
      </c>
      <c r="AM18" s="277" t="s">
        <v>3</v>
      </c>
      <c r="AN18" s="188">
        <v>0.09901620370370372</v>
      </c>
      <c r="AO18" s="93">
        <v>831.5980805583828</v>
      </c>
      <c r="AP18" s="277" t="s">
        <v>377</v>
      </c>
      <c r="AQ18" s="277" t="s">
        <v>3</v>
      </c>
      <c r="AR18" s="188">
        <v>0.02394675925925926</v>
      </c>
      <c r="AS18" s="93">
        <v>985.5389541088579</v>
      </c>
      <c r="AT18" s="277" t="s">
        <v>656</v>
      </c>
      <c r="AU18" s="277" t="s">
        <v>3</v>
      </c>
      <c r="AV18" s="188">
        <v>0.027685185185185188</v>
      </c>
      <c r="AW18" s="550">
        <v>685.8108108108108</v>
      </c>
      <c r="AX18" s="277" t="s">
        <v>656</v>
      </c>
      <c r="AY18" s="277" t="s">
        <v>3</v>
      </c>
      <c r="AZ18" s="188">
        <v>0.04515046296296296</v>
      </c>
      <c r="BA18" s="550">
        <v>740.9920371599205</v>
      </c>
      <c r="BB18" s="277" t="s">
        <v>656</v>
      </c>
      <c r="BC18" s="277" t="s">
        <v>3</v>
      </c>
      <c r="BD18" s="188">
        <v>0.04435185185185186</v>
      </c>
      <c r="BE18" s="93">
        <v>948.0961923847696</v>
      </c>
      <c r="BF18" s="277" t="s">
        <v>759</v>
      </c>
      <c r="BG18" s="277" t="s">
        <v>3</v>
      </c>
      <c r="BH18" s="188">
        <v>0.0346875</v>
      </c>
      <c r="BI18" s="93">
        <v>792.019347037485</v>
      </c>
      <c r="BJ18" s="277" t="s">
        <v>759</v>
      </c>
      <c r="BK18" s="277" t="s">
        <v>3</v>
      </c>
      <c r="BL18" s="188">
        <v>0.011597222222222222</v>
      </c>
      <c r="BM18" s="93">
        <v>978.5932721712538</v>
      </c>
      <c r="BN18" s="277" t="s">
        <v>759</v>
      </c>
      <c r="BO18" s="277" t="s">
        <v>3</v>
      </c>
      <c r="BP18" s="188">
        <v>0.05710648148148148</v>
      </c>
      <c r="BQ18" s="93">
        <v>856.8118628359591</v>
      </c>
      <c r="BR18" s="277" t="s">
        <v>759</v>
      </c>
      <c r="BS18" s="277" t="s">
        <v>3</v>
      </c>
      <c r="BT18" s="188">
        <v>0.038148148148148146</v>
      </c>
      <c r="BU18" s="93">
        <v>821.1731044349071</v>
      </c>
      <c r="BV18" s="274"/>
      <c r="BW18" s="274"/>
      <c r="BX18" s="281"/>
      <c r="BY18" s="93"/>
      <c r="BZ18" s="274"/>
      <c r="CA18" s="274"/>
      <c r="CB18" s="275"/>
      <c r="CC18" s="93"/>
      <c r="CD18" s="277" t="s">
        <v>237</v>
      </c>
      <c r="CE18" s="277" t="s">
        <v>3</v>
      </c>
      <c r="CF18" s="188">
        <v>0.04646990740740741</v>
      </c>
      <c r="CG18" s="550">
        <v>772.0982864532814</v>
      </c>
      <c r="CH18" s="274"/>
      <c r="CI18" s="274"/>
      <c r="CJ18" s="273"/>
      <c r="CK18" s="93"/>
      <c r="CL18" s="274"/>
      <c r="CM18" s="274"/>
      <c r="CN18" s="273"/>
      <c r="CO18" s="93"/>
      <c r="CP18" s="274"/>
      <c r="CQ18" s="274"/>
      <c r="CR18" s="273"/>
      <c r="CS18" s="93"/>
      <c r="CT18" s="274"/>
      <c r="CU18" s="274"/>
      <c r="CV18" s="273"/>
      <c r="CW18" s="93"/>
      <c r="CX18" s="274" t="s">
        <v>493</v>
      </c>
      <c r="CY18" s="274" t="s">
        <v>3</v>
      </c>
      <c r="CZ18" s="273">
        <v>0.058819444444444445</v>
      </c>
      <c r="DA18" s="550">
        <v>736.7636092468306</v>
      </c>
      <c r="DB18" s="274" t="s">
        <v>493</v>
      </c>
      <c r="DC18" s="274" t="s">
        <v>3</v>
      </c>
      <c r="DD18" s="273">
        <v>0.05379629629629629</v>
      </c>
      <c r="DE18" s="550">
        <v>593.2203389830511</v>
      </c>
    </row>
    <row r="19" spans="1:109" ht="12.75">
      <c r="A19" s="253">
        <v>6</v>
      </c>
      <c r="B19" s="259" t="s">
        <v>200</v>
      </c>
      <c r="C19" s="193" t="s">
        <v>187</v>
      </c>
      <c r="D19" s="193" t="s">
        <v>276</v>
      </c>
      <c r="F19" s="548">
        <v>1975</v>
      </c>
      <c r="G19" s="255">
        <f>H19</f>
        <v>10161.97493736791</v>
      </c>
      <c r="H19" s="256">
        <f t="shared" si="0"/>
        <v>10161.97493736791</v>
      </c>
      <c r="I19" s="257">
        <v>12</v>
      </c>
      <c r="J19" s="280"/>
      <c r="K19" s="274"/>
      <c r="L19" s="281"/>
      <c r="M19" s="93"/>
      <c r="N19" s="274"/>
      <c r="O19" s="274"/>
      <c r="P19" s="281"/>
      <c r="Q19" s="93"/>
      <c r="R19" s="274"/>
      <c r="S19" s="274"/>
      <c r="T19" s="281"/>
      <c r="U19" s="93"/>
      <c r="V19" s="274" t="s">
        <v>387</v>
      </c>
      <c r="W19" s="274" t="s">
        <v>3</v>
      </c>
      <c r="X19" s="275">
        <v>0.05232638888888889</v>
      </c>
      <c r="Y19" s="93">
        <v>830.5742369374032</v>
      </c>
      <c r="Z19" s="274" t="s">
        <v>493</v>
      </c>
      <c r="AA19" s="274" t="s">
        <v>3</v>
      </c>
      <c r="AB19" s="188">
        <v>0.016620370370370372</v>
      </c>
      <c r="AC19" s="36">
        <v>799.0509059534079</v>
      </c>
      <c r="AD19" s="274" t="s">
        <v>493</v>
      </c>
      <c r="AE19" s="274" t="s">
        <v>3</v>
      </c>
      <c r="AF19" s="188">
        <v>0.07091435185185185</v>
      </c>
      <c r="AG19" s="36">
        <v>753.8292529817953</v>
      </c>
      <c r="AH19" s="274" t="s">
        <v>493</v>
      </c>
      <c r="AI19" s="274" t="s">
        <v>3</v>
      </c>
      <c r="AJ19" s="188">
        <v>0.053738425925925926</v>
      </c>
      <c r="AK19" s="36">
        <v>751.0376314333147</v>
      </c>
      <c r="AL19" s="274"/>
      <c r="AM19" s="274"/>
      <c r="AN19" s="282"/>
      <c r="AO19" s="93"/>
      <c r="AP19" s="274"/>
      <c r="AQ19" s="274"/>
      <c r="AR19" s="273"/>
      <c r="AS19" s="93"/>
      <c r="AT19" s="277" t="s">
        <v>656</v>
      </c>
      <c r="AU19" s="277" t="s">
        <v>3</v>
      </c>
      <c r="AV19" s="188">
        <v>0.02289351851851852</v>
      </c>
      <c r="AW19" s="93">
        <v>930.5743243243243</v>
      </c>
      <c r="AX19" s="277" t="s">
        <v>656</v>
      </c>
      <c r="AY19" s="277" t="s">
        <v>3</v>
      </c>
      <c r="AZ19" s="188">
        <v>0.04138888888888889</v>
      </c>
      <c r="BA19" s="93">
        <v>854.2136695421367</v>
      </c>
      <c r="BB19" s="277" t="s">
        <v>656</v>
      </c>
      <c r="BC19" s="277" t="s">
        <v>3</v>
      </c>
      <c r="BD19" s="188">
        <v>0.0475462962962963</v>
      </c>
      <c r="BE19" s="93">
        <v>865.1302605210421</v>
      </c>
      <c r="BF19" s="277" t="s">
        <v>759</v>
      </c>
      <c r="BG19" s="277" t="s">
        <v>3</v>
      </c>
      <c r="BH19" s="188">
        <v>0.033229166666666664</v>
      </c>
      <c r="BI19" s="93">
        <v>842.8053204353085</v>
      </c>
      <c r="BJ19" s="277" t="s">
        <v>759</v>
      </c>
      <c r="BK19" s="277" t="s">
        <v>3</v>
      </c>
      <c r="BL19" s="188">
        <v>0.012407407407407409</v>
      </c>
      <c r="BM19" s="93">
        <v>907.2375127420997</v>
      </c>
      <c r="BN19" s="277" t="s">
        <v>759</v>
      </c>
      <c r="BO19" s="277" t="s">
        <v>3</v>
      </c>
      <c r="BP19" s="188">
        <v>0.057118055555555554</v>
      </c>
      <c r="BQ19" s="93">
        <v>856.5801668211305</v>
      </c>
      <c r="BR19" s="277" t="s">
        <v>759</v>
      </c>
      <c r="BS19" s="277" t="s">
        <v>3</v>
      </c>
      <c r="BT19" s="188">
        <v>0.03861111111111111</v>
      </c>
      <c r="BU19" s="93">
        <v>806.8669527896997</v>
      </c>
      <c r="BV19" s="277" t="s">
        <v>756</v>
      </c>
      <c r="BW19" s="277" t="s">
        <v>3</v>
      </c>
      <c r="BX19" s="188">
        <v>0.036875</v>
      </c>
      <c r="BY19" s="93">
        <v>964.0747028862481</v>
      </c>
      <c r="BZ19" s="274"/>
      <c r="CA19" s="274"/>
      <c r="CB19" s="273"/>
      <c r="CC19" s="93"/>
      <c r="CD19" s="274"/>
      <c r="CE19" s="274"/>
      <c r="CF19" s="275"/>
      <c r="CG19" s="93"/>
      <c r="CH19" s="274"/>
      <c r="CI19" s="274"/>
      <c r="CJ19" s="273"/>
      <c r="CK19" s="93"/>
      <c r="CL19" s="274"/>
      <c r="CM19" s="274"/>
      <c r="CN19" s="273"/>
      <c r="CO19" s="93"/>
      <c r="CP19" s="274"/>
      <c r="CQ19" s="274"/>
      <c r="CR19" s="273"/>
      <c r="CS19" s="93"/>
      <c r="CT19" s="274"/>
      <c r="CU19" s="274"/>
      <c r="CV19" s="273"/>
      <c r="CW19" s="93"/>
      <c r="CX19" s="274"/>
      <c r="CY19" s="274"/>
      <c r="CZ19" s="273"/>
      <c r="DA19" s="93"/>
      <c r="DB19" s="274"/>
      <c r="DC19" s="274"/>
      <c r="DD19" s="273"/>
      <c r="DE19" s="93"/>
    </row>
    <row r="20" spans="1:112" ht="12.75">
      <c r="A20" s="253">
        <v>7</v>
      </c>
      <c r="B20" s="259" t="s">
        <v>18</v>
      </c>
      <c r="C20" s="193" t="s">
        <v>10</v>
      </c>
      <c r="D20" s="193" t="s">
        <v>19</v>
      </c>
      <c r="F20" s="190">
        <v>1973</v>
      </c>
      <c r="G20" s="255">
        <f>H20</f>
        <v>10154.949606954902</v>
      </c>
      <c r="H20" s="256">
        <f t="shared" si="0"/>
        <v>10154.949606954902</v>
      </c>
      <c r="I20" s="257">
        <v>11</v>
      </c>
      <c r="J20" s="274" t="s">
        <v>404</v>
      </c>
      <c r="K20" s="274" t="s">
        <v>3</v>
      </c>
      <c r="L20" s="273">
        <v>0.03277777777777778</v>
      </c>
      <c r="M20" s="93">
        <v>877.97147385103</v>
      </c>
      <c r="N20" s="274"/>
      <c r="O20" s="274"/>
      <c r="P20" s="275"/>
      <c r="Q20" s="93"/>
      <c r="R20" s="274"/>
      <c r="S20" s="274"/>
      <c r="T20" s="275"/>
      <c r="U20" s="93"/>
      <c r="V20" s="274"/>
      <c r="W20" s="274"/>
      <c r="X20" s="275"/>
      <c r="Y20" s="93"/>
      <c r="Z20" s="274" t="s">
        <v>493</v>
      </c>
      <c r="AA20" s="274" t="s">
        <v>3</v>
      </c>
      <c r="AB20" s="188">
        <v>0.01528935185185185</v>
      </c>
      <c r="AC20" s="36">
        <v>903.2355478861087</v>
      </c>
      <c r="AD20" s="274" t="s">
        <v>493</v>
      </c>
      <c r="AE20" s="274" t="s">
        <v>3</v>
      </c>
      <c r="AF20" s="188">
        <v>0.06116898148148148</v>
      </c>
      <c r="AG20" s="36">
        <v>938.8261142498429</v>
      </c>
      <c r="AH20" s="274" t="s">
        <v>493</v>
      </c>
      <c r="AI20" s="274" t="s">
        <v>3</v>
      </c>
      <c r="AJ20" s="188">
        <v>0.044826388888888895</v>
      </c>
      <c r="AK20" s="36">
        <v>974.7509684560043</v>
      </c>
      <c r="AL20" s="277"/>
      <c r="AM20" s="277"/>
      <c r="AN20" s="277"/>
      <c r="AO20" s="93"/>
      <c r="AP20" s="277" t="s">
        <v>377</v>
      </c>
      <c r="AQ20" s="277" t="s">
        <v>3</v>
      </c>
      <c r="AR20" s="188">
        <v>0.0221875</v>
      </c>
      <c r="AS20" s="93">
        <v>1074.759871931697</v>
      </c>
      <c r="AT20" s="277" t="s">
        <v>656</v>
      </c>
      <c r="AU20" s="277" t="s">
        <v>3</v>
      </c>
      <c r="AV20" s="188">
        <v>0.03164351851851852</v>
      </c>
      <c r="AW20" s="93">
        <v>483.61486486486467</v>
      </c>
      <c r="AX20" s="277" t="s">
        <v>656</v>
      </c>
      <c r="AY20" s="277" t="s">
        <v>3</v>
      </c>
      <c r="AZ20" s="188">
        <v>0.038125</v>
      </c>
      <c r="BA20" s="93">
        <v>952.4552090245523</v>
      </c>
      <c r="BB20" s="277" t="s">
        <v>656</v>
      </c>
      <c r="BC20" s="277" t="s">
        <v>3</v>
      </c>
      <c r="BD20" s="188">
        <v>0.04416666666666667</v>
      </c>
      <c r="BE20" s="93">
        <v>952.9058116232467</v>
      </c>
      <c r="BF20" s="274"/>
      <c r="BG20" s="274"/>
      <c r="BH20" s="275"/>
      <c r="BI20" s="93"/>
      <c r="BJ20" s="274"/>
      <c r="BK20" s="274"/>
      <c r="BL20" s="281"/>
      <c r="BM20" s="93"/>
      <c r="BN20" s="274"/>
      <c r="BO20" s="274"/>
      <c r="BP20" s="273"/>
      <c r="BQ20" s="93"/>
      <c r="BR20" s="274"/>
      <c r="BS20" s="274"/>
      <c r="BT20" s="273"/>
      <c r="BU20" s="93"/>
      <c r="BV20" s="274"/>
      <c r="BW20" s="274"/>
      <c r="BX20" s="275"/>
      <c r="BY20" s="93"/>
      <c r="BZ20" s="274"/>
      <c r="CA20" s="274"/>
      <c r="CB20" s="273"/>
      <c r="CC20" s="93"/>
      <c r="CD20" s="277" t="s">
        <v>237</v>
      </c>
      <c r="CE20" s="277" t="s">
        <v>3</v>
      </c>
      <c r="CF20" s="279">
        <v>0.03579861111111111</v>
      </c>
      <c r="CG20" s="93">
        <v>1100</v>
      </c>
      <c r="CH20" s="274"/>
      <c r="CI20" s="274"/>
      <c r="CJ20" s="275"/>
      <c r="CK20" s="93"/>
      <c r="CL20" s="274"/>
      <c r="CM20" s="274"/>
      <c r="CN20" s="275"/>
      <c r="CO20" s="93"/>
      <c r="CP20" s="274"/>
      <c r="CQ20" s="274"/>
      <c r="CR20" s="275"/>
      <c r="CS20" s="93"/>
      <c r="CT20" s="274"/>
      <c r="CU20" s="274"/>
      <c r="CV20" s="275"/>
      <c r="CW20" s="93"/>
      <c r="CX20" s="274" t="s">
        <v>493</v>
      </c>
      <c r="CY20" s="274" t="s">
        <v>3</v>
      </c>
      <c r="CZ20" s="275">
        <v>0.05069444444444445</v>
      </c>
      <c r="DA20" s="93">
        <v>911.2602535421325</v>
      </c>
      <c r="DB20" s="274" t="s">
        <v>493</v>
      </c>
      <c r="DC20" s="274" t="s">
        <v>3</v>
      </c>
      <c r="DD20" s="275">
        <v>0.038807870370370375</v>
      </c>
      <c r="DE20" s="93">
        <v>985.1694915254236</v>
      </c>
      <c r="DF20" s="262"/>
      <c r="DG20" s="262"/>
      <c r="DH20" s="262"/>
    </row>
    <row r="21" spans="1:109" ht="12.75">
      <c r="A21" s="253">
        <v>8</v>
      </c>
      <c r="B21" s="259" t="s">
        <v>84</v>
      </c>
      <c r="C21" s="193" t="s">
        <v>10</v>
      </c>
      <c r="D21" s="193" t="s">
        <v>21</v>
      </c>
      <c r="E21" s="193" t="s">
        <v>359</v>
      </c>
      <c r="F21" s="190">
        <v>1997</v>
      </c>
      <c r="G21" s="255">
        <f>H21-AG21</f>
        <v>10093.7373312961</v>
      </c>
      <c r="H21" s="256">
        <f t="shared" si="0"/>
        <v>10093.7373312961</v>
      </c>
      <c r="I21" s="257">
        <v>13</v>
      </c>
      <c r="J21" s="277"/>
      <c r="K21" s="277"/>
      <c r="L21" s="188"/>
      <c r="M21" s="93"/>
      <c r="N21" s="274"/>
      <c r="O21" s="274"/>
      <c r="P21" s="275"/>
      <c r="Q21" s="93"/>
      <c r="R21" s="274"/>
      <c r="S21" s="274"/>
      <c r="T21" s="275"/>
      <c r="U21" s="93"/>
      <c r="V21" s="274"/>
      <c r="W21" s="274"/>
      <c r="X21" s="275"/>
      <c r="Y21" s="93"/>
      <c r="Z21" s="274" t="s">
        <v>493</v>
      </c>
      <c r="AA21" s="274" t="s">
        <v>3</v>
      </c>
      <c r="AB21" s="188">
        <v>0.016689814814814817</v>
      </c>
      <c r="AC21" s="36">
        <v>793.6151855047451</v>
      </c>
      <c r="AD21" s="274" t="s">
        <v>493</v>
      </c>
      <c r="AE21" s="274" t="s">
        <v>3</v>
      </c>
      <c r="AF21" s="276" t="s">
        <v>358</v>
      </c>
      <c r="AG21" s="550">
        <v>0</v>
      </c>
      <c r="AH21" s="274" t="s">
        <v>493</v>
      </c>
      <c r="AI21" s="274" t="s">
        <v>3</v>
      </c>
      <c r="AJ21" s="188">
        <v>0.05435185185185185</v>
      </c>
      <c r="AK21" s="36">
        <v>735.6391809629218</v>
      </c>
      <c r="AL21" s="277"/>
      <c r="AM21" s="277"/>
      <c r="AN21" s="188"/>
      <c r="AO21" s="93"/>
      <c r="AP21" s="277"/>
      <c r="AQ21" s="277"/>
      <c r="AR21" s="188"/>
      <c r="AS21" s="93"/>
      <c r="AT21" s="277" t="s">
        <v>656</v>
      </c>
      <c r="AU21" s="277" t="s">
        <v>3</v>
      </c>
      <c r="AV21" s="188">
        <v>0.026284722222222223</v>
      </c>
      <c r="AW21" s="93">
        <v>757.3479729729729</v>
      </c>
      <c r="AX21" s="277" t="s">
        <v>656</v>
      </c>
      <c r="AY21" s="277" t="s">
        <v>3</v>
      </c>
      <c r="AZ21" s="188">
        <v>0.04597222222222222</v>
      </c>
      <c r="BA21" s="93">
        <v>716.2574651625749</v>
      </c>
      <c r="BB21" s="277" t="s">
        <v>656</v>
      </c>
      <c r="BC21" s="277" t="s">
        <v>3</v>
      </c>
      <c r="BD21" s="188">
        <v>0.04631944444444444</v>
      </c>
      <c r="BE21" s="93">
        <v>896.993987975952</v>
      </c>
      <c r="BF21" s="277" t="s">
        <v>759</v>
      </c>
      <c r="BG21" s="277" t="s">
        <v>3</v>
      </c>
      <c r="BH21" s="188">
        <v>0.03091435185185185</v>
      </c>
      <c r="BI21" s="93">
        <v>923.4179766223298</v>
      </c>
      <c r="BJ21" s="277" t="s">
        <v>759</v>
      </c>
      <c r="BK21" s="277" t="s">
        <v>3</v>
      </c>
      <c r="BL21" s="188">
        <v>0.011516203703703702</v>
      </c>
      <c r="BM21" s="93">
        <v>985.7288481141693</v>
      </c>
      <c r="BN21" s="277" t="s">
        <v>759</v>
      </c>
      <c r="BO21" s="277" t="s">
        <v>3</v>
      </c>
      <c r="BP21" s="188">
        <v>0.05694444444444444</v>
      </c>
      <c r="BQ21" s="93">
        <v>860.0556070435588</v>
      </c>
      <c r="BR21" s="277" t="s">
        <v>759</v>
      </c>
      <c r="BS21" s="277" t="s">
        <v>3</v>
      </c>
      <c r="BT21" s="188">
        <v>0.038356481481481484</v>
      </c>
      <c r="BU21" s="93">
        <v>814.7353361945635</v>
      </c>
      <c r="BV21" s="277"/>
      <c r="BW21" s="277"/>
      <c r="BX21" s="277"/>
      <c r="BY21" s="35"/>
      <c r="BZ21" s="277"/>
      <c r="CA21" s="277"/>
      <c r="CB21" s="277"/>
      <c r="CC21" s="93"/>
      <c r="CD21" s="277" t="s">
        <v>369</v>
      </c>
      <c r="CE21" s="277" t="s">
        <v>3</v>
      </c>
      <c r="CF21" s="279">
        <v>0.03850694444444445</v>
      </c>
      <c r="CG21" s="93">
        <v>1016.7798254122209</v>
      </c>
      <c r="CH21" s="274"/>
      <c r="CI21" s="274"/>
      <c r="CJ21" s="275"/>
      <c r="CK21" s="93"/>
      <c r="CL21" s="274"/>
      <c r="CM21" s="274"/>
      <c r="CN21" s="275"/>
      <c r="CO21" s="93"/>
      <c r="CP21" s="274"/>
      <c r="CQ21" s="274"/>
      <c r="CR21" s="273"/>
      <c r="CS21" s="93"/>
      <c r="CT21" s="274"/>
      <c r="CU21" s="274"/>
      <c r="CV21" s="273"/>
      <c r="CW21" s="93"/>
      <c r="CX21" s="274" t="s">
        <v>493</v>
      </c>
      <c r="CY21" s="274" t="s">
        <v>3</v>
      </c>
      <c r="CZ21" s="273">
        <v>0.05743055555555556</v>
      </c>
      <c r="DA21" s="93">
        <v>766.5920954511558</v>
      </c>
      <c r="DB21" s="274" t="s">
        <v>493</v>
      </c>
      <c r="DC21" s="274" t="s">
        <v>3</v>
      </c>
      <c r="DD21" s="273">
        <v>0.04487268518518519</v>
      </c>
      <c r="DE21" s="93">
        <v>826.5738498789345</v>
      </c>
    </row>
    <row r="22" spans="1:109" ht="12.75">
      <c r="A22" s="253">
        <v>9</v>
      </c>
      <c r="B22" s="259" t="s">
        <v>99</v>
      </c>
      <c r="C22" s="193" t="s">
        <v>10</v>
      </c>
      <c r="D22" s="193" t="s">
        <v>11</v>
      </c>
      <c r="F22" s="190">
        <v>1975</v>
      </c>
      <c r="G22" s="255">
        <f>H22-M22-AC22-AS22-AW22-BA22-DA22-DE22</f>
        <v>9649.187926626728</v>
      </c>
      <c r="H22" s="256">
        <f t="shared" si="0"/>
        <v>14336.070901672148</v>
      </c>
      <c r="I22" s="257">
        <v>19</v>
      </c>
      <c r="J22" s="274" t="s">
        <v>404</v>
      </c>
      <c r="K22" s="274" t="s">
        <v>3</v>
      </c>
      <c r="L22" s="275">
        <v>0.039467592592592596</v>
      </c>
      <c r="M22" s="550">
        <v>648.9698890649762</v>
      </c>
      <c r="N22" s="274" t="s">
        <v>418</v>
      </c>
      <c r="O22" s="274" t="s">
        <v>3</v>
      </c>
      <c r="P22" s="275">
        <v>0.053877314814814815</v>
      </c>
      <c r="Q22" s="93">
        <v>883.9606808918722</v>
      </c>
      <c r="R22" s="274" t="s">
        <v>387</v>
      </c>
      <c r="S22" s="274" t="s">
        <v>3</v>
      </c>
      <c r="T22" s="275">
        <v>0.06412037037037037</v>
      </c>
      <c r="U22" s="93">
        <v>852.289206546509</v>
      </c>
      <c r="V22" s="274" t="s">
        <v>387</v>
      </c>
      <c r="W22" s="274" t="s">
        <v>3</v>
      </c>
      <c r="X22" s="275">
        <v>0.054537037037037044</v>
      </c>
      <c r="Y22" s="93">
        <v>781.1691670977754</v>
      </c>
      <c r="Z22" s="274" t="s">
        <v>493</v>
      </c>
      <c r="AA22" s="274" t="s">
        <v>3</v>
      </c>
      <c r="AB22" s="188">
        <v>0.01824074074074074</v>
      </c>
      <c r="AC22" s="550">
        <v>672.2174288179464</v>
      </c>
      <c r="AD22" s="274" t="s">
        <v>493</v>
      </c>
      <c r="AE22" s="274" t="s">
        <v>3</v>
      </c>
      <c r="AF22" s="188">
        <v>0.07028935185185185</v>
      </c>
      <c r="AG22" s="36">
        <v>765.6936597614562</v>
      </c>
      <c r="AH22" s="274" t="s">
        <v>493</v>
      </c>
      <c r="AI22" s="274" t="s">
        <v>3</v>
      </c>
      <c r="AJ22" s="188">
        <v>0.05361111111111111</v>
      </c>
      <c r="AK22" s="36">
        <v>754.2335362479248</v>
      </c>
      <c r="AL22" s="277" t="s">
        <v>377</v>
      </c>
      <c r="AM22" s="277" t="s">
        <v>3</v>
      </c>
      <c r="AN22" s="188">
        <v>0.1013888888888889</v>
      </c>
      <c r="AO22" s="93">
        <v>798.8076196015703</v>
      </c>
      <c r="AP22" s="277" t="s">
        <v>377</v>
      </c>
      <c r="AQ22" s="277" t="s">
        <v>3</v>
      </c>
      <c r="AR22" s="188">
        <v>0.030474537037037036</v>
      </c>
      <c r="AS22" s="550">
        <v>654.4823906083244</v>
      </c>
      <c r="AT22" s="277" t="s">
        <v>656</v>
      </c>
      <c r="AU22" s="277" t="s">
        <v>3</v>
      </c>
      <c r="AV22" s="188">
        <v>0.02763888888888889</v>
      </c>
      <c r="AW22" s="550">
        <v>688.1756756756758</v>
      </c>
      <c r="AX22" s="277" t="s">
        <v>656</v>
      </c>
      <c r="AY22" s="277" t="s">
        <v>3</v>
      </c>
      <c r="AZ22" s="188">
        <v>0.046898148148148154</v>
      </c>
      <c r="BA22" s="550">
        <v>688.3875248838752</v>
      </c>
      <c r="BB22" s="277" t="s">
        <v>656</v>
      </c>
      <c r="BC22" s="277" t="s">
        <v>3</v>
      </c>
      <c r="BD22" s="188">
        <v>0.04972222222222222</v>
      </c>
      <c r="BE22" s="93">
        <v>808.6172344689379</v>
      </c>
      <c r="BF22" s="277" t="s">
        <v>759</v>
      </c>
      <c r="BG22" s="277" t="s">
        <v>3</v>
      </c>
      <c r="BH22" s="188">
        <v>0.03346064814814815</v>
      </c>
      <c r="BI22" s="93">
        <v>834.7440548166063</v>
      </c>
      <c r="BJ22" s="277" t="s">
        <v>759</v>
      </c>
      <c r="BK22" s="277" t="s">
        <v>3</v>
      </c>
      <c r="BL22" s="188">
        <v>0.0134375</v>
      </c>
      <c r="BM22" s="93">
        <v>816.5137614678899</v>
      </c>
      <c r="BN22" s="277" t="s">
        <v>759</v>
      </c>
      <c r="BO22" s="277" t="s">
        <v>3</v>
      </c>
      <c r="BP22" s="188">
        <v>0.05991898148148148</v>
      </c>
      <c r="BQ22" s="93">
        <v>800.5097312326228</v>
      </c>
      <c r="BR22" s="277" t="s">
        <v>759</v>
      </c>
      <c r="BS22" s="277" t="s">
        <v>3</v>
      </c>
      <c r="BT22" s="188">
        <v>0.04064814814814815</v>
      </c>
      <c r="BU22" s="93">
        <v>743.919885550787</v>
      </c>
      <c r="BV22" s="274"/>
      <c r="BW22" s="274"/>
      <c r="BX22" s="273"/>
      <c r="BY22" s="93"/>
      <c r="BZ22" s="274"/>
      <c r="CA22" s="274"/>
      <c r="CB22" s="273"/>
      <c r="CC22" s="93"/>
      <c r="CD22" s="277" t="s">
        <v>237</v>
      </c>
      <c r="CE22" s="277" t="s">
        <v>3</v>
      </c>
      <c r="CF22" s="188">
        <v>0.04527777777777778</v>
      </c>
      <c r="CG22" s="93">
        <v>808.729388942774</v>
      </c>
      <c r="CH22" s="274"/>
      <c r="CI22" s="274"/>
      <c r="CJ22" s="275"/>
      <c r="CK22" s="93"/>
      <c r="CL22" s="274"/>
      <c r="CM22" s="274"/>
      <c r="CN22" s="275"/>
      <c r="CO22" s="93"/>
      <c r="CP22" s="274"/>
      <c r="CQ22" s="274"/>
      <c r="CR22" s="273"/>
      <c r="CS22" s="93"/>
      <c r="CT22" s="274"/>
      <c r="CU22" s="274"/>
      <c r="CV22" s="273"/>
      <c r="CW22" s="93"/>
      <c r="CX22" s="274" t="s">
        <v>493</v>
      </c>
      <c r="CY22" s="274" t="s">
        <v>3</v>
      </c>
      <c r="CZ22" s="275">
        <v>0.06065972222222222</v>
      </c>
      <c r="DA22" s="550">
        <v>697.2408650261</v>
      </c>
      <c r="DB22" s="274" t="s">
        <v>493</v>
      </c>
      <c r="DC22" s="274" t="s">
        <v>3</v>
      </c>
      <c r="DD22" s="275">
        <v>0.05210648148148148</v>
      </c>
      <c r="DE22" s="550">
        <v>637.409200968523</v>
      </c>
    </row>
    <row r="23" spans="1:109" ht="12.75">
      <c r="A23" s="253">
        <v>10</v>
      </c>
      <c r="B23" s="259" t="s">
        <v>104</v>
      </c>
      <c r="C23" s="193" t="s">
        <v>10</v>
      </c>
      <c r="D23" s="193" t="s">
        <v>110</v>
      </c>
      <c r="E23" s="193" t="s">
        <v>359</v>
      </c>
      <c r="F23" s="190">
        <v>1999</v>
      </c>
      <c r="G23" s="255">
        <f>H23-AS23-AC23-AW23-BM23-BA23</f>
        <v>9511.892390598621</v>
      </c>
      <c r="H23" s="256">
        <f t="shared" si="0"/>
        <v>11923.757569543703</v>
      </c>
      <c r="I23" s="257">
        <v>17</v>
      </c>
      <c r="J23" s="280"/>
      <c r="K23" s="274"/>
      <c r="L23" s="281"/>
      <c r="M23" s="283"/>
      <c r="N23" s="274"/>
      <c r="O23" s="274"/>
      <c r="P23" s="275"/>
      <c r="Q23" s="93"/>
      <c r="R23" s="274"/>
      <c r="S23" s="274"/>
      <c r="T23" s="281"/>
      <c r="U23" s="93"/>
      <c r="V23" s="274"/>
      <c r="W23" s="274"/>
      <c r="X23" s="281"/>
      <c r="Y23" s="284"/>
      <c r="Z23" s="274" t="s">
        <v>584</v>
      </c>
      <c r="AA23" s="274" t="s">
        <v>4</v>
      </c>
      <c r="AB23" s="278">
        <v>0.018564814814814815</v>
      </c>
      <c r="AC23" s="550">
        <v>454.5446096654275</v>
      </c>
      <c r="AD23" s="274" t="s">
        <v>584</v>
      </c>
      <c r="AE23" s="274" t="s">
        <v>4</v>
      </c>
      <c r="AF23" s="275">
        <v>0.07650462962962963</v>
      </c>
      <c r="AG23" s="93">
        <v>741.9616336633663</v>
      </c>
      <c r="AH23" s="274" t="s">
        <v>584</v>
      </c>
      <c r="AI23" s="274" t="s">
        <v>4</v>
      </c>
      <c r="AJ23" s="275">
        <v>0.051388888888888894</v>
      </c>
      <c r="AK23" s="93">
        <v>706.4207947740882</v>
      </c>
      <c r="AL23" s="285" t="s">
        <v>369</v>
      </c>
      <c r="AM23" s="277" t="s">
        <v>4</v>
      </c>
      <c r="AN23" s="188">
        <v>0.09600694444444445</v>
      </c>
      <c r="AO23" s="93">
        <v>935.0000000000001</v>
      </c>
      <c r="AP23" s="285" t="s">
        <v>369</v>
      </c>
      <c r="AQ23" s="277" t="s">
        <v>3</v>
      </c>
      <c r="AR23" s="188">
        <v>0.040625</v>
      </c>
      <c r="AS23" s="550">
        <v>139.70117395944493</v>
      </c>
      <c r="AT23" s="277" t="s">
        <v>656</v>
      </c>
      <c r="AU23" s="277" t="s">
        <v>3</v>
      </c>
      <c r="AV23" s="188">
        <v>0.02988425925925926</v>
      </c>
      <c r="AW23" s="550">
        <v>573.4797297297298</v>
      </c>
      <c r="AX23" s="277" t="s">
        <v>656</v>
      </c>
      <c r="AY23" s="277" t="s">
        <v>3</v>
      </c>
      <c r="AZ23" s="188">
        <v>0.048923611111111105</v>
      </c>
      <c r="BA23" s="550">
        <v>627.4220305242205</v>
      </c>
      <c r="BB23" s="277" t="s">
        <v>656</v>
      </c>
      <c r="BC23" s="277" t="s">
        <v>3</v>
      </c>
      <c r="BD23" s="188">
        <v>0.049166666666666664</v>
      </c>
      <c r="BE23" s="93">
        <v>823.046092184369</v>
      </c>
      <c r="BF23" s="277" t="s">
        <v>759</v>
      </c>
      <c r="BG23" s="277" t="s">
        <v>3</v>
      </c>
      <c r="BH23" s="188">
        <v>0.03563657407407408</v>
      </c>
      <c r="BI23" s="93">
        <v>758.968158000806</v>
      </c>
      <c r="BJ23" s="277" t="s">
        <v>759</v>
      </c>
      <c r="BK23" s="277" t="s">
        <v>3</v>
      </c>
      <c r="BL23" s="188">
        <v>0.01570601851851852</v>
      </c>
      <c r="BM23" s="550">
        <v>616.7176350662588</v>
      </c>
      <c r="BN23" s="277" t="s">
        <v>759</v>
      </c>
      <c r="BO23" s="277" t="s">
        <v>3</v>
      </c>
      <c r="BP23" s="188">
        <v>0.05987268518518518</v>
      </c>
      <c r="BQ23" s="93">
        <v>801.436515291937</v>
      </c>
      <c r="BR23" s="277" t="s">
        <v>759</v>
      </c>
      <c r="BS23" s="277" t="s">
        <v>3</v>
      </c>
      <c r="BT23" s="188">
        <v>0.041527777777777775</v>
      </c>
      <c r="BU23" s="93">
        <v>716.7381974248927</v>
      </c>
      <c r="BV23" s="274"/>
      <c r="BW23" s="274"/>
      <c r="BX23" s="273"/>
      <c r="BY23" s="93"/>
      <c r="BZ23" s="274"/>
      <c r="CA23" s="274"/>
      <c r="CB23" s="273"/>
      <c r="CC23" s="93"/>
      <c r="CD23" s="277" t="s">
        <v>369</v>
      </c>
      <c r="CE23" s="277" t="s">
        <v>3</v>
      </c>
      <c r="CF23" s="188">
        <v>0.05004629629629629</v>
      </c>
      <c r="CG23" s="93">
        <v>662.2049789848045</v>
      </c>
      <c r="CH23" s="274" t="s">
        <v>656</v>
      </c>
      <c r="CI23" s="274" t="s">
        <v>3</v>
      </c>
      <c r="CJ23" s="273">
        <v>0.012905092592592591</v>
      </c>
      <c r="CK23" s="93">
        <v>918.5257032007761</v>
      </c>
      <c r="CL23" s="274" t="s">
        <v>656</v>
      </c>
      <c r="CM23" s="274" t="s">
        <v>3</v>
      </c>
      <c r="CN23" s="273">
        <v>0.05016203703703703</v>
      </c>
      <c r="CO23" s="93">
        <v>894.951555328914</v>
      </c>
      <c r="CP23" s="274"/>
      <c r="CQ23" s="274"/>
      <c r="CR23" s="275"/>
      <c r="CS23" s="93"/>
      <c r="CT23" s="274"/>
      <c r="CU23" s="274"/>
      <c r="CV23" s="275"/>
      <c r="CW23" s="93"/>
      <c r="CX23" s="274" t="s">
        <v>493</v>
      </c>
      <c r="CY23" s="274" t="s">
        <v>3</v>
      </c>
      <c r="CZ23" s="273">
        <v>0.05400462962962963</v>
      </c>
      <c r="DA23" s="93">
        <v>840.169028088491</v>
      </c>
      <c r="DB23" s="274" t="s">
        <v>493</v>
      </c>
      <c r="DC23" s="274" t="s">
        <v>3</v>
      </c>
      <c r="DD23" s="273">
        <v>0.04923611111111111</v>
      </c>
      <c r="DE23" s="93">
        <v>712.4697336561743</v>
      </c>
    </row>
    <row r="24" spans="1:109" ht="12.75">
      <c r="A24" s="253">
        <v>11</v>
      </c>
      <c r="B24" s="259" t="s">
        <v>182</v>
      </c>
      <c r="C24" s="193" t="s">
        <v>10</v>
      </c>
      <c r="D24" s="193" t="s">
        <v>29</v>
      </c>
      <c r="E24" s="193" t="s">
        <v>359</v>
      </c>
      <c r="F24" s="190">
        <v>1999</v>
      </c>
      <c r="G24" s="255">
        <f>H24-AW24-BE24</f>
        <v>9297.302815196716</v>
      </c>
      <c r="H24" s="256">
        <f t="shared" si="0"/>
        <v>10508.83703227953</v>
      </c>
      <c r="I24" s="257">
        <v>14</v>
      </c>
      <c r="J24" s="274" t="s">
        <v>404</v>
      </c>
      <c r="K24" s="274" t="s">
        <v>3</v>
      </c>
      <c r="L24" s="275">
        <v>0.038622685185185184</v>
      </c>
      <c r="M24" s="93">
        <v>677.892234548336</v>
      </c>
      <c r="N24" s="274"/>
      <c r="O24" s="274"/>
      <c r="P24" s="275"/>
      <c r="Q24" s="93"/>
      <c r="R24" s="274"/>
      <c r="S24" s="274"/>
      <c r="T24" s="281"/>
      <c r="U24" s="93"/>
      <c r="V24" s="274"/>
      <c r="W24" s="274"/>
      <c r="X24" s="281"/>
      <c r="Y24" s="284"/>
      <c r="Z24" s="274" t="s">
        <v>584</v>
      </c>
      <c r="AA24" s="274" t="s">
        <v>4</v>
      </c>
      <c r="AB24" s="278">
        <v>0.01347222222222222</v>
      </c>
      <c r="AC24" s="93">
        <v>819.5074349442381</v>
      </c>
      <c r="AD24" s="274" t="s">
        <v>584</v>
      </c>
      <c r="AE24" s="274" t="s">
        <v>4</v>
      </c>
      <c r="AF24" s="275">
        <v>0.07520833333333334</v>
      </c>
      <c r="AG24" s="93">
        <v>759.634900990099</v>
      </c>
      <c r="AH24" s="274" t="s">
        <v>584</v>
      </c>
      <c r="AI24" s="274" t="s">
        <v>4</v>
      </c>
      <c r="AJ24" s="275">
        <v>0.05033564814814815</v>
      </c>
      <c r="AK24" s="93">
        <v>728.526810016331</v>
      </c>
      <c r="AL24" s="285" t="s">
        <v>369</v>
      </c>
      <c r="AM24" s="277" t="s">
        <v>4</v>
      </c>
      <c r="AN24" s="188">
        <v>0.10952546296296296</v>
      </c>
      <c r="AO24" s="93">
        <v>803.3447860156722</v>
      </c>
      <c r="AP24" s="285" t="s">
        <v>369</v>
      </c>
      <c r="AQ24" s="277" t="s">
        <v>3</v>
      </c>
      <c r="AR24" s="188">
        <v>0.029305555555555557</v>
      </c>
      <c r="AS24" s="93">
        <v>713.7673425827106</v>
      </c>
      <c r="AT24" s="277" t="s">
        <v>656</v>
      </c>
      <c r="AU24" s="277" t="s">
        <v>3</v>
      </c>
      <c r="AV24" s="188">
        <v>0.03043981481481482</v>
      </c>
      <c r="AW24" s="550">
        <v>545.1013513513512</v>
      </c>
      <c r="AX24" s="277" t="s">
        <v>656</v>
      </c>
      <c r="AY24" s="277" t="s">
        <v>3</v>
      </c>
      <c r="AZ24" s="188">
        <v>0.044270833333333336</v>
      </c>
      <c r="BA24" s="93">
        <v>767.4684804246848</v>
      </c>
      <c r="BB24" s="277" t="s">
        <v>656</v>
      </c>
      <c r="BC24" s="277" t="s">
        <v>3</v>
      </c>
      <c r="BD24" s="188">
        <v>0.055196759259259265</v>
      </c>
      <c r="BE24" s="550">
        <v>666.4328657314629</v>
      </c>
      <c r="BF24" s="277" t="s">
        <v>759</v>
      </c>
      <c r="BG24" s="277" t="s">
        <v>3</v>
      </c>
      <c r="BH24" s="188">
        <v>0.03366898148148148</v>
      </c>
      <c r="BI24" s="93">
        <v>827.4889157597745</v>
      </c>
      <c r="BJ24" s="277" t="s">
        <v>759</v>
      </c>
      <c r="BK24" s="277" t="s">
        <v>3</v>
      </c>
      <c r="BL24" s="188">
        <v>0.013171296296296294</v>
      </c>
      <c r="BM24" s="93">
        <v>839.9592252803266</v>
      </c>
      <c r="BN24" s="277" t="s">
        <v>759</v>
      </c>
      <c r="BO24" s="277" t="s">
        <v>3</v>
      </c>
      <c r="BP24" s="188">
        <v>0.06289351851851853</v>
      </c>
      <c r="BQ24" s="93">
        <v>740.9638554216864</v>
      </c>
      <c r="BR24" s="277" t="s">
        <v>759</v>
      </c>
      <c r="BS24" s="277" t="s">
        <v>3</v>
      </c>
      <c r="BT24" s="188">
        <v>0.03888888888888889</v>
      </c>
      <c r="BU24" s="93">
        <v>798.283261802575</v>
      </c>
      <c r="BV24" s="274"/>
      <c r="BW24" s="274"/>
      <c r="BX24" s="273"/>
      <c r="BY24" s="93"/>
      <c r="BZ24" s="274"/>
      <c r="CA24" s="274"/>
      <c r="CB24" s="273"/>
      <c r="CC24" s="93"/>
      <c r="CD24" s="277" t="s">
        <v>369</v>
      </c>
      <c r="CE24" s="277" t="s">
        <v>3</v>
      </c>
      <c r="CF24" s="188">
        <v>0.04489583333333333</v>
      </c>
      <c r="CG24" s="93">
        <v>820.4655674102813</v>
      </c>
      <c r="CH24" s="274"/>
      <c r="CI24" s="274"/>
      <c r="CJ24" s="275"/>
      <c r="CK24" s="93"/>
      <c r="CL24" s="274"/>
      <c r="CM24" s="274"/>
      <c r="CN24" s="275"/>
      <c r="CO24" s="93"/>
      <c r="CP24" s="274"/>
      <c r="CQ24" s="274"/>
      <c r="CR24" s="273"/>
      <c r="CS24" s="93"/>
      <c r="CT24" s="274"/>
      <c r="CU24" s="274"/>
      <c r="CV24" s="273"/>
      <c r="CW24" s="93"/>
      <c r="CX24" s="274"/>
      <c r="CY24" s="274"/>
      <c r="CZ24" s="275"/>
      <c r="DA24" s="93"/>
      <c r="DB24" s="274"/>
      <c r="DC24" s="274"/>
      <c r="DD24" s="275"/>
      <c r="DE24" s="93"/>
    </row>
    <row r="25" spans="1:109" s="262" customFormat="1" ht="12.75">
      <c r="A25" s="253">
        <v>12</v>
      </c>
      <c r="B25" s="259" t="s">
        <v>109</v>
      </c>
      <c r="C25" s="193" t="s">
        <v>10</v>
      </c>
      <c r="D25" s="193" t="s">
        <v>11</v>
      </c>
      <c r="E25" s="193" t="s">
        <v>360</v>
      </c>
      <c r="F25" s="190">
        <v>1969</v>
      </c>
      <c r="G25" s="255">
        <f>H25-BQ25-BU25-AW25-CS25-CW25-BA25-DE25</f>
        <v>9277.577670283246</v>
      </c>
      <c r="H25" s="256">
        <f t="shared" si="0"/>
        <v>12767.474206403904</v>
      </c>
      <c r="I25" s="257">
        <v>19</v>
      </c>
      <c r="J25" s="277"/>
      <c r="K25" s="277"/>
      <c r="L25" s="278"/>
      <c r="M25" s="93"/>
      <c r="N25" s="274"/>
      <c r="O25" s="274"/>
      <c r="P25" s="281"/>
      <c r="Q25" s="93"/>
      <c r="R25" s="274"/>
      <c r="S25" s="274"/>
      <c r="T25" s="275"/>
      <c r="U25" s="93"/>
      <c r="V25" s="274"/>
      <c r="W25" s="274"/>
      <c r="X25" s="275"/>
      <c r="Y25" s="93"/>
      <c r="Z25" s="274" t="s">
        <v>401</v>
      </c>
      <c r="AA25" s="274" t="s">
        <v>159</v>
      </c>
      <c r="AB25" s="278">
        <v>0.016435185185185188</v>
      </c>
      <c r="AC25" s="93">
        <v>837.6271186440678</v>
      </c>
      <c r="AD25" s="274" t="s">
        <v>401</v>
      </c>
      <c r="AE25" s="274" t="s">
        <v>159</v>
      </c>
      <c r="AF25" s="275">
        <v>0.043993055555555556</v>
      </c>
      <c r="AG25" s="93">
        <v>840</v>
      </c>
      <c r="AH25" s="274" t="s">
        <v>401</v>
      </c>
      <c r="AI25" s="274" t="s">
        <v>159</v>
      </c>
      <c r="AJ25" s="275">
        <v>0.03974537037037037</v>
      </c>
      <c r="AK25" s="93">
        <v>805.6259472567447</v>
      </c>
      <c r="AL25" s="277" t="s">
        <v>633</v>
      </c>
      <c r="AM25" s="277" t="s">
        <v>159</v>
      </c>
      <c r="AN25" s="188">
        <v>0.07383101851851852</v>
      </c>
      <c r="AO25" s="93">
        <v>880.0000000000001</v>
      </c>
      <c r="AP25" s="277" t="s">
        <v>633</v>
      </c>
      <c r="AQ25" s="277" t="s">
        <v>4</v>
      </c>
      <c r="AR25" s="188">
        <v>0.02462962962962963</v>
      </c>
      <c r="AS25" s="93">
        <v>848.2960077896789</v>
      </c>
      <c r="AT25" s="286" t="s">
        <v>688</v>
      </c>
      <c r="AU25" s="286" t="s">
        <v>4</v>
      </c>
      <c r="AV25" s="287">
        <v>0.025717592592592594</v>
      </c>
      <c r="AW25" s="550">
        <v>634.3529411764706</v>
      </c>
      <c r="AX25" s="286" t="s">
        <v>688</v>
      </c>
      <c r="AY25" s="286" t="s">
        <v>4</v>
      </c>
      <c r="AZ25" s="287">
        <v>0.03490740740740741</v>
      </c>
      <c r="BA25" s="550">
        <v>634.420140321915</v>
      </c>
      <c r="BB25" s="286" t="s">
        <v>688</v>
      </c>
      <c r="BC25" s="286" t="s">
        <v>4</v>
      </c>
      <c r="BD25" s="188">
        <v>0.03916666666666666</v>
      </c>
      <c r="BE25" s="93">
        <v>716.0935910478129</v>
      </c>
      <c r="BF25" s="277" t="s">
        <v>753</v>
      </c>
      <c r="BG25" s="277" t="s">
        <v>4</v>
      </c>
      <c r="BH25" s="188">
        <v>0.028981481481481483</v>
      </c>
      <c r="BI25" s="93">
        <v>718.3098591549294</v>
      </c>
      <c r="BJ25" s="277" t="s">
        <v>753</v>
      </c>
      <c r="BK25" s="277" t="s">
        <v>4</v>
      </c>
      <c r="BL25" s="188">
        <v>0.012719907407407407</v>
      </c>
      <c r="BM25" s="93">
        <v>653.6060279870828</v>
      </c>
      <c r="BN25" s="277" t="s">
        <v>753</v>
      </c>
      <c r="BO25" s="277" t="s">
        <v>4</v>
      </c>
      <c r="BP25" s="188">
        <v>0.051493055555555556</v>
      </c>
      <c r="BQ25" s="550">
        <v>597.6907913263871</v>
      </c>
      <c r="BR25" s="277" t="s">
        <v>753</v>
      </c>
      <c r="BS25" s="277" t="s">
        <v>4</v>
      </c>
      <c r="BT25" s="188">
        <v>0.032870370370370376</v>
      </c>
      <c r="BU25" s="550">
        <v>621.5331610680446</v>
      </c>
      <c r="BV25" s="274"/>
      <c r="BW25" s="274"/>
      <c r="BX25" s="273"/>
      <c r="BY25" s="93"/>
      <c r="BZ25" s="274"/>
      <c r="CA25" s="274"/>
      <c r="CB25" s="273"/>
      <c r="CC25" s="93"/>
      <c r="CD25" s="277" t="s">
        <v>633</v>
      </c>
      <c r="CE25" s="277" t="s">
        <v>4</v>
      </c>
      <c r="CF25" s="279">
        <v>0.040775462962962965</v>
      </c>
      <c r="CG25" s="93">
        <v>720.3487592219989</v>
      </c>
      <c r="CH25" s="274" t="s">
        <v>688</v>
      </c>
      <c r="CI25" s="274" t="s">
        <v>4</v>
      </c>
      <c r="CJ25" s="273">
        <v>0.010486111111111111</v>
      </c>
      <c r="CK25" s="93">
        <v>800</v>
      </c>
      <c r="CL25" s="274" t="s">
        <v>688</v>
      </c>
      <c r="CM25" s="274" t="s">
        <v>4</v>
      </c>
      <c r="CN25" s="273">
        <v>0.04979166666666667</v>
      </c>
      <c r="CO25" s="93">
        <v>800</v>
      </c>
      <c r="CP25" s="274" t="s">
        <v>853</v>
      </c>
      <c r="CQ25" s="274" t="s">
        <v>3</v>
      </c>
      <c r="CR25" s="275">
        <v>0.04939814814814814</v>
      </c>
      <c r="CS25" s="550">
        <v>377.803116685671</v>
      </c>
      <c r="CT25" s="274" t="s">
        <v>853</v>
      </c>
      <c r="CU25" s="274" t="s">
        <v>3</v>
      </c>
      <c r="CV25" s="275">
        <v>0.01982638888888889</v>
      </c>
      <c r="CW25" s="550">
        <v>624.0963855421686</v>
      </c>
      <c r="CX25" s="274" t="s">
        <v>401</v>
      </c>
      <c r="CY25" s="274" t="s">
        <v>4</v>
      </c>
      <c r="CZ25" s="273">
        <v>0.04061342592592593</v>
      </c>
      <c r="DA25" s="93">
        <v>657.670359180933</v>
      </c>
      <c r="DB25" s="274" t="s">
        <v>401</v>
      </c>
      <c r="DC25" s="274" t="s">
        <v>4</v>
      </c>
      <c r="DD25" s="273" t="s">
        <v>358</v>
      </c>
      <c r="DE25" s="550">
        <v>0</v>
      </c>
    </row>
    <row r="26" spans="1:109" s="262" customFormat="1" ht="12.75">
      <c r="A26" s="253">
        <v>13</v>
      </c>
      <c r="B26" s="259" t="s">
        <v>12</v>
      </c>
      <c r="C26" s="193" t="s">
        <v>10</v>
      </c>
      <c r="D26" s="193" t="s">
        <v>163</v>
      </c>
      <c r="E26" s="193" t="s">
        <v>359</v>
      </c>
      <c r="F26" s="548">
        <v>2000</v>
      </c>
      <c r="G26" s="255">
        <f>H26-BM26-BY26-AW26-DA26-DE26</f>
        <v>9244.986197425718</v>
      </c>
      <c r="H26" s="256">
        <f t="shared" si="0"/>
        <v>10757.590336466286</v>
      </c>
      <c r="I26" s="257">
        <v>17</v>
      </c>
      <c r="J26" s="274" t="s">
        <v>407</v>
      </c>
      <c r="K26" s="274" t="s">
        <v>4</v>
      </c>
      <c r="L26" s="275">
        <v>0.03230324074074074</v>
      </c>
      <c r="M26" s="93">
        <v>782.4240205053094</v>
      </c>
      <c r="N26" s="274"/>
      <c r="O26" s="274"/>
      <c r="P26" s="275"/>
      <c r="Q26" s="93"/>
      <c r="R26" s="274"/>
      <c r="S26" s="274"/>
      <c r="T26" s="275"/>
      <c r="U26" s="93"/>
      <c r="V26" s="274"/>
      <c r="W26" s="274"/>
      <c r="X26" s="275"/>
      <c r="Y26" s="93"/>
      <c r="Z26" s="277" t="s">
        <v>583</v>
      </c>
      <c r="AA26" s="277" t="s">
        <v>159</v>
      </c>
      <c r="AB26" s="278">
        <v>0.01638888888888889</v>
      </c>
      <c r="AC26" s="93">
        <v>840</v>
      </c>
      <c r="AD26" s="277" t="s">
        <v>583</v>
      </c>
      <c r="AE26" s="277" t="s">
        <v>159</v>
      </c>
      <c r="AF26" s="278">
        <v>0.04725694444444445</v>
      </c>
      <c r="AG26" s="93">
        <v>777.6795580110496</v>
      </c>
      <c r="AH26" s="277" t="s">
        <v>583</v>
      </c>
      <c r="AI26" s="277" t="s">
        <v>159</v>
      </c>
      <c r="AJ26" s="278">
        <v>0.03967592592592593</v>
      </c>
      <c r="AK26" s="93">
        <v>807.1536829342225</v>
      </c>
      <c r="AL26" s="285" t="s">
        <v>632</v>
      </c>
      <c r="AM26" s="277" t="s">
        <v>159</v>
      </c>
      <c r="AN26" s="188">
        <v>0.07523148148148148</v>
      </c>
      <c r="AO26" s="93">
        <v>863.3077284840886</v>
      </c>
      <c r="AP26" s="277" t="s">
        <v>632</v>
      </c>
      <c r="AQ26" s="277" t="s">
        <v>4</v>
      </c>
      <c r="AR26" s="188">
        <v>0.02377314814814815</v>
      </c>
      <c r="AS26" s="93">
        <v>880.0000000000001</v>
      </c>
      <c r="AT26" s="286" t="s">
        <v>686</v>
      </c>
      <c r="AU26" s="286" t="s">
        <v>4</v>
      </c>
      <c r="AV26" s="287">
        <v>0.02847222222222222</v>
      </c>
      <c r="AW26" s="550">
        <v>522.3529411764706</v>
      </c>
      <c r="AX26" s="286" t="s">
        <v>686</v>
      </c>
      <c r="AY26" s="286" t="s">
        <v>4</v>
      </c>
      <c r="AZ26" s="287">
        <v>0.03305555555555555</v>
      </c>
      <c r="BA26" s="93">
        <v>689.8885678910442</v>
      </c>
      <c r="BB26" s="286" t="s">
        <v>686</v>
      </c>
      <c r="BC26" s="286" t="s">
        <v>4</v>
      </c>
      <c r="BD26" s="287">
        <v>0.03498842592592593</v>
      </c>
      <c r="BE26" s="93">
        <v>818.9216683621565</v>
      </c>
      <c r="BF26" s="277" t="s">
        <v>752</v>
      </c>
      <c r="BG26" s="277" t="s">
        <v>4</v>
      </c>
      <c r="BH26" s="188">
        <v>0.029629629629629627</v>
      </c>
      <c r="BI26" s="93">
        <v>698.5915492957746</v>
      </c>
      <c r="BJ26" s="277" t="s">
        <v>752</v>
      </c>
      <c r="BK26" s="277" t="s">
        <v>4</v>
      </c>
      <c r="BL26" s="277" t="s">
        <v>358</v>
      </c>
      <c r="BM26" s="550">
        <v>0</v>
      </c>
      <c r="BN26" s="277" t="s">
        <v>752</v>
      </c>
      <c r="BO26" s="277" t="s">
        <v>4</v>
      </c>
      <c r="BP26" s="188">
        <v>0.04627314814814815</v>
      </c>
      <c r="BQ26" s="93">
        <v>699.295972965362</v>
      </c>
      <c r="BR26" s="277"/>
      <c r="BS26" s="277"/>
      <c r="BT26" s="277"/>
      <c r="BU26" s="93"/>
      <c r="BV26" s="277" t="s">
        <v>755</v>
      </c>
      <c r="BW26" s="277" t="s">
        <v>159</v>
      </c>
      <c r="BX26" s="277" t="s">
        <v>358</v>
      </c>
      <c r="BY26" s="550">
        <v>0</v>
      </c>
      <c r="BZ26" s="277" t="s">
        <v>755</v>
      </c>
      <c r="CA26" s="277" t="s">
        <v>159</v>
      </c>
      <c r="CB26" s="188">
        <v>0.04862268518518518</v>
      </c>
      <c r="CC26" s="550">
        <v>651.1893396976931</v>
      </c>
      <c r="CD26" s="277" t="s">
        <v>369</v>
      </c>
      <c r="CE26" s="277" t="s">
        <v>3</v>
      </c>
      <c r="CF26" s="188">
        <v>0.04762731481481481</v>
      </c>
      <c r="CG26" s="93">
        <v>736.5341092790172</v>
      </c>
      <c r="CH26" s="274"/>
      <c r="CI26" s="274"/>
      <c r="CJ26" s="273"/>
      <c r="CK26" s="93"/>
      <c r="CL26" s="274"/>
      <c r="CM26" s="274"/>
      <c r="CN26" s="273"/>
      <c r="CO26" s="93"/>
      <c r="CP26" s="274"/>
      <c r="CQ26" s="274"/>
      <c r="CR26" s="273"/>
      <c r="CS26" s="93"/>
      <c r="CT26" s="274"/>
      <c r="CU26" s="274"/>
      <c r="CV26" s="273"/>
      <c r="CW26" s="93"/>
      <c r="CX26" s="274" t="s">
        <v>493</v>
      </c>
      <c r="CY26" s="274" t="s">
        <v>3</v>
      </c>
      <c r="CZ26" s="273">
        <v>0.06332175925925926</v>
      </c>
      <c r="DA26" s="550">
        <v>640.0695998011435</v>
      </c>
      <c r="DB26" s="274" t="s">
        <v>493</v>
      </c>
      <c r="DC26" s="274" t="s">
        <v>3</v>
      </c>
      <c r="DD26" s="273">
        <v>0.06309027777777777</v>
      </c>
      <c r="DE26" s="550">
        <v>350.18159806295415</v>
      </c>
    </row>
    <row r="27" spans="1:109" s="262" customFormat="1" ht="12.75">
      <c r="A27" s="253">
        <v>14</v>
      </c>
      <c r="B27" s="259" t="s">
        <v>14</v>
      </c>
      <c r="C27" s="193" t="s">
        <v>10</v>
      </c>
      <c r="D27" s="193" t="s">
        <v>15</v>
      </c>
      <c r="E27" s="193" t="s">
        <v>375</v>
      </c>
      <c r="F27" s="190">
        <v>1956</v>
      </c>
      <c r="G27" s="255">
        <f>H27-BQ27-BU27-BM27-AO27-AS27-DA27-BI27</f>
        <v>8739.52965353761</v>
      </c>
      <c r="H27" s="256">
        <f t="shared" si="0"/>
        <v>12967.319800032825</v>
      </c>
      <c r="I27" s="257">
        <v>19</v>
      </c>
      <c r="J27" s="277" t="s">
        <v>409</v>
      </c>
      <c r="K27" s="277" t="s">
        <v>4</v>
      </c>
      <c r="L27" s="278">
        <v>0.033229166666666664</v>
      </c>
      <c r="M27" s="93">
        <v>758.9893811790553</v>
      </c>
      <c r="N27" s="274" t="s">
        <v>65</v>
      </c>
      <c r="O27" s="274" t="s">
        <v>4</v>
      </c>
      <c r="P27" s="275">
        <v>0.06460648148148147</v>
      </c>
      <c r="Q27" s="93">
        <v>800</v>
      </c>
      <c r="R27" s="274"/>
      <c r="S27" s="274"/>
      <c r="T27" s="275"/>
      <c r="U27" s="93"/>
      <c r="V27" s="274"/>
      <c r="W27" s="274"/>
      <c r="X27" s="275"/>
      <c r="Y27" s="93"/>
      <c r="Z27" s="274" t="s">
        <v>591</v>
      </c>
      <c r="AA27" s="274" t="s">
        <v>159</v>
      </c>
      <c r="AB27" s="278">
        <v>0.017037037037037038</v>
      </c>
      <c r="AC27" s="93">
        <v>806.7796610169491</v>
      </c>
      <c r="AD27" s="274" t="s">
        <v>591</v>
      </c>
      <c r="AE27" s="274" t="s">
        <v>159</v>
      </c>
      <c r="AF27" s="275">
        <v>0.05121527777777778</v>
      </c>
      <c r="AG27" s="93">
        <v>702.099447513812</v>
      </c>
      <c r="AH27" s="274" t="s">
        <v>591</v>
      </c>
      <c r="AI27" s="274" t="s">
        <v>159</v>
      </c>
      <c r="AJ27" s="275">
        <v>0.04556712962962963</v>
      </c>
      <c r="AK27" s="93">
        <v>677.5507729615036</v>
      </c>
      <c r="AL27" s="285" t="s">
        <v>383</v>
      </c>
      <c r="AM27" s="277" t="s">
        <v>628</v>
      </c>
      <c r="AN27" s="188">
        <v>0.057847222222222223</v>
      </c>
      <c r="AO27" s="550">
        <v>660</v>
      </c>
      <c r="AP27" s="277" t="s">
        <v>383</v>
      </c>
      <c r="AQ27" s="277" t="s">
        <v>174</v>
      </c>
      <c r="AR27" s="188">
        <v>0.023680555555555555</v>
      </c>
      <c r="AS27" s="550">
        <v>660</v>
      </c>
      <c r="AT27" s="277" t="s">
        <v>689</v>
      </c>
      <c r="AU27" s="277" t="s">
        <v>159</v>
      </c>
      <c r="AV27" s="188">
        <v>0.01818287037037037</v>
      </c>
      <c r="AW27" s="93">
        <v>735</v>
      </c>
      <c r="AX27" s="277" t="s">
        <v>689</v>
      </c>
      <c r="AY27" s="277" t="s">
        <v>159</v>
      </c>
      <c r="AZ27" s="188">
        <v>0.029305555555555557</v>
      </c>
      <c r="BA27" s="93">
        <v>735</v>
      </c>
      <c r="BB27" s="277" t="s">
        <v>689</v>
      </c>
      <c r="BC27" s="277" t="s">
        <v>159</v>
      </c>
      <c r="BD27" s="188">
        <v>0.027928240740740743</v>
      </c>
      <c r="BE27" s="93">
        <v>717.8562340966919</v>
      </c>
      <c r="BF27" s="277" t="s">
        <v>753</v>
      </c>
      <c r="BG27" s="277" t="s">
        <v>4</v>
      </c>
      <c r="BH27" s="188">
        <v>0.0305787037037037</v>
      </c>
      <c r="BI27" s="550">
        <v>669.7183098591548</v>
      </c>
      <c r="BJ27" s="277" t="s">
        <v>753</v>
      </c>
      <c r="BK27" s="277" t="s">
        <v>4</v>
      </c>
      <c r="BL27" s="188">
        <v>0.013900462962962962</v>
      </c>
      <c r="BM27" s="550">
        <v>565.7696447793326</v>
      </c>
      <c r="BN27" s="277" t="s">
        <v>753</v>
      </c>
      <c r="BO27" s="277" t="s">
        <v>4</v>
      </c>
      <c r="BP27" s="188">
        <v>0.054675925925925926</v>
      </c>
      <c r="BQ27" s="550">
        <v>535.7364122782315</v>
      </c>
      <c r="BR27" s="277" t="s">
        <v>753</v>
      </c>
      <c r="BS27" s="277" t="s">
        <v>4</v>
      </c>
      <c r="BT27" s="188">
        <v>0.03643518518518519</v>
      </c>
      <c r="BU27" s="550">
        <v>515.4177433247198</v>
      </c>
      <c r="BV27" s="274"/>
      <c r="BW27" s="274"/>
      <c r="BX27" s="273"/>
      <c r="BY27" s="93"/>
      <c r="BZ27" s="274"/>
      <c r="CA27" s="274"/>
      <c r="CB27" s="273"/>
      <c r="CC27" s="93"/>
      <c r="CD27" s="277" t="s">
        <v>383</v>
      </c>
      <c r="CE27" s="277" t="s">
        <v>159</v>
      </c>
      <c r="CF27" s="279">
        <v>0.042847222222222224</v>
      </c>
      <c r="CG27" s="93">
        <v>693</v>
      </c>
      <c r="CH27" s="274"/>
      <c r="CI27" s="274"/>
      <c r="CJ27" s="273"/>
      <c r="CK27" s="93"/>
      <c r="CL27" s="274"/>
      <c r="CM27" s="274"/>
      <c r="CN27" s="273"/>
      <c r="CO27" s="93"/>
      <c r="CP27" s="274" t="s">
        <v>844</v>
      </c>
      <c r="CQ27" s="274" t="s">
        <v>4</v>
      </c>
      <c r="CR27" s="275">
        <v>0.047233796296296295</v>
      </c>
      <c r="CS27" s="93">
        <v>720</v>
      </c>
      <c r="CT27" s="274" t="s">
        <v>844</v>
      </c>
      <c r="CU27" s="274" t="s">
        <v>4</v>
      </c>
      <c r="CV27" s="275">
        <v>0.021504629629629627</v>
      </c>
      <c r="CW27" s="93">
        <v>720</v>
      </c>
      <c r="CX27" s="274" t="s">
        <v>400</v>
      </c>
      <c r="CY27" s="274" t="s">
        <v>4</v>
      </c>
      <c r="CZ27" s="275">
        <v>0.042187499999999996</v>
      </c>
      <c r="DA27" s="550">
        <v>621.1480362537765</v>
      </c>
      <c r="DB27" s="274" t="s">
        <v>400</v>
      </c>
      <c r="DC27" s="274" t="s">
        <v>4</v>
      </c>
      <c r="DD27" s="275">
        <v>0.05644675925925926</v>
      </c>
      <c r="DE27" s="93">
        <v>673.2541567695963</v>
      </c>
    </row>
    <row r="28" spans="1:109" s="262" customFormat="1" ht="12.75">
      <c r="A28" s="253">
        <v>15</v>
      </c>
      <c r="B28" s="259" t="s">
        <v>197</v>
      </c>
      <c r="C28" s="193" t="s">
        <v>187</v>
      </c>
      <c r="D28" s="193" t="s">
        <v>204</v>
      </c>
      <c r="E28" s="193"/>
      <c r="F28" s="190">
        <v>1976</v>
      </c>
      <c r="G28" s="255">
        <f>H28</f>
        <v>8375.541066092042</v>
      </c>
      <c r="H28" s="256">
        <f t="shared" si="0"/>
        <v>8375.541066092042</v>
      </c>
      <c r="I28" s="257">
        <v>10</v>
      </c>
      <c r="J28" s="280"/>
      <c r="K28" s="274"/>
      <c r="L28" s="281"/>
      <c r="M28" s="284"/>
      <c r="N28" s="274"/>
      <c r="O28" s="274"/>
      <c r="P28" s="281"/>
      <c r="Q28" s="284"/>
      <c r="R28" s="274" t="s">
        <v>387</v>
      </c>
      <c r="S28" s="274" t="s">
        <v>3</v>
      </c>
      <c r="T28" s="275">
        <v>0.05767361111111111</v>
      </c>
      <c r="U28" s="93">
        <v>967.6817899316345</v>
      </c>
      <c r="V28" s="274" t="s">
        <v>387</v>
      </c>
      <c r="W28" s="274" t="s">
        <v>3</v>
      </c>
      <c r="X28" s="275">
        <v>0.05023148148148148</v>
      </c>
      <c r="Y28" s="93">
        <v>877.3926539058459</v>
      </c>
      <c r="Z28" s="274" t="s">
        <v>493</v>
      </c>
      <c r="AA28" s="274" t="s">
        <v>3</v>
      </c>
      <c r="AB28" s="188">
        <v>0.017499999999999998</v>
      </c>
      <c r="AC28" s="36">
        <v>730.1984469370149</v>
      </c>
      <c r="AD28" s="274" t="s">
        <v>493</v>
      </c>
      <c r="AE28" s="274" t="s">
        <v>3</v>
      </c>
      <c r="AF28" s="188">
        <v>0.07368055555555555</v>
      </c>
      <c r="AG28" s="36">
        <v>701.3182674199621</v>
      </c>
      <c r="AH28" s="274" t="s">
        <v>493</v>
      </c>
      <c r="AI28" s="274" t="s">
        <v>3</v>
      </c>
      <c r="AJ28" s="188">
        <v>0.05282407407407408</v>
      </c>
      <c r="AK28" s="36">
        <v>773.99003873824</v>
      </c>
      <c r="AL28" s="274"/>
      <c r="AM28" s="274"/>
      <c r="AN28" s="273"/>
      <c r="AO28" s="93"/>
      <c r="AP28" s="274"/>
      <c r="AQ28" s="274"/>
      <c r="AR28" s="275"/>
      <c r="AS28" s="93"/>
      <c r="AT28" s="277" t="s">
        <v>656</v>
      </c>
      <c r="AU28" s="277" t="s">
        <v>3</v>
      </c>
      <c r="AV28" s="188">
        <v>0.02804398148148148</v>
      </c>
      <c r="AW28" s="93">
        <v>667.4831081081084</v>
      </c>
      <c r="AX28" s="277" t="s">
        <v>656</v>
      </c>
      <c r="AY28" s="277" t="s">
        <v>3</v>
      </c>
      <c r="AZ28" s="188">
        <v>0.04009259259259259</v>
      </c>
      <c r="BA28" s="93">
        <v>893.2315859323161</v>
      </c>
      <c r="BB28" s="277" t="s">
        <v>656</v>
      </c>
      <c r="BC28" s="277" t="s">
        <v>3</v>
      </c>
      <c r="BD28" s="188">
        <v>0.04479166666666667</v>
      </c>
      <c r="BE28" s="93">
        <v>936.6733466933869</v>
      </c>
      <c r="BF28" s="274"/>
      <c r="BG28" s="274"/>
      <c r="BH28" s="273"/>
      <c r="BI28" s="93"/>
      <c r="BJ28" s="274"/>
      <c r="BK28" s="274"/>
      <c r="BL28" s="281"/>
      <c r="BM28" s="93"/>
      <c r="BN28" s="274"/>
      <c r="BO28" s="274"/>
      <c r="BP28" s="281"/>
      <c r="BQ28" s="93"/>
      <c r="BR28" s="274"/>
      <c r="BS28" s="274"/>
      <c r="BT28" s="281"/>
      <c r="BU28" s="93"/>
      <c r="BV28" s="277" t="s">
        <v>756</v>
      </c>
      <c r="BW28" s="277" t="s">
        <v>3</v>
      </c>
      <c r="BX28" s="188">
        <v>0.037766203703703705</v>
      </c>
      <c r="BY28" s="93">
        <v>936.6213921901527</v>
      </c>
      <c r="BZ28" s="277" t="s">
        <v>756</v>
      </c>
      <c r="CA28" s="277" t="s">
        <v>3</v>
      </c>
      <c r="CB28" s="188">
        <v>0.07179398148148149</v>
      </c>
      <c r="CC28" s="93">
        <v>890.9504362353815</v>
      </c>
      <c r="CD28" s="274"/>
      <c r="CE28" s="274"/>
      <c r="CF28" s="275"/>
      <c r="CG28" s="93"/>
      <c r="CH28" s="274"/>
      <c r="CI28" s="274"/>
      <c r="CJ28" s="273"/>
      <c r="CK28" s="93"/>
      <c r="CL28" s="274"/>
      <c r="CM28" s="274"/>
      <c r="CN28" s="273"/>
      <c r="CO28" s="93"/>
      <c r="CP28" s="274"/>
      <c r="CQ28" s="274"/>
      <c r="CR28" s="273"/>
      <c r="CS28" s="93"/>
      <c r="CT28" s="274"/>
      <c r="CU28" s="274"/>
      <c r="CV28" s="273"/>
      <c r="CW28" s="93"/>
      <c r="CX28" s="274"/>
      <c r="CY28" s="274"/>
      <c r="CZ28" s="273"/>
      <c r="DA28" s="93"/>
      <c r="DB28" s="274"/>
      <c r="DC28" s="274"/>
      <c r="DD28" s="273"/>
      <c r="DE28" s="93"/>
    </row>
    <row r="29" spans="1:109" s="262" customFormat="1" ht="12.75">
      <c r="A29" s="253">
        <v>16</v>
      </c>
      <c r="B29" s="259" t="s">
        <v>24</v>
      </c>
      <c r="C29" s="193" t="s">
        <v>10</v>
      </c>
      <c r="D29" s="193" t="s">
        <v>25</v>
      </c>
      <c r="E29" s="193"/>
      <c r="F29" s="190">
        <v>1977</v>
      </c>
      <c r="G29" s="255">
        <f>H29</f>
        <v>8054.753374102515</v>
      </c>
      <c r="H29" s="256">
        <f t="shared" si="0"/>
        <v>8054.753374102515</v>
      </c>
      <c r="I29" s="257">
        <v>11</v>
      </c>
      <c r="J29" s="274" t="s">
        <v>404</v>
      </c>
      <c r="K29" s="274" t="s">
        <v>3</v>
      </c>
      <c r="L29" s="273">
        <v>0.04594907407407408</v>
      </c>
      <c r="M29" s="93">
        <v>427.09984152139447</v>
      </c>
      <c r="N29" s="274"/>
      <c r="O29" s="274"/>
      <c r="P29" s="275"/>
      <c r="Q29" s="93"/>
      <c r="R29" s="274"/>
      <c r="S29" s="274"/>
      <c r="T29" s="275"/>
      <c r="U29" s="93"/>
      <c r="V29" s="274"/>
      <c r="W29" s="274"/>
      <c r="X29" s="275"/>
      <c r="Y29" s="93"/>
      <c r="Z29" s="274" t="s">
        <v>493</v>
      </c>
      <c r="AA29" s="274" t="s">
        <v>3</v>
      </c>
      <c r="AB29" s="188">
        <v>0.01678240740740741</v>
      </c>
      <c r="AC29" s="36">
        <v>786.3675582398619</v>
      </c>
      <c r="AD29" s="274" t="s">
        <v>493</v>
      </c>
      <c r="AE29" s="274" t="s">
        <v>3</v>
      </c>
      <c r="AF29" s="188">
        <v>0.07357638888888889</v>
      </c>
      <c r="AG29" s="36">
        <v>703.2956685499057</v>
      </c>
      <c r="AH29" s="274" t="s">
        <v>493</v>
      </c>
      <c r="AI29" s="274" t="s">
        <v>3</v>
      </c>
      <c r="AJ29" s="188">
        <v>0.058460648148148144</v>
      </c>
      <c r="AK29" s="36">
        <v>632.4986164914224</v>
      </c>
      <c r="AL29" s="277" t="s">
        <v>377</v>
      </c>
      <c r="AM29" s="277" t="s">
        <v>3</v>
      </c>
      <c r="AN29" s="188">
        <v>0.1009837962962963</v>
      </c>
      <c r="AO29" s="93">
        <v>804.4059909844409</v>
      </c>
      <c r="AP29" s="277" t="s">
        <v>377</v>
      </c>
      <c r="AQ29" s="277" t="s">
        <v>3</v>
      </c>
      <c r="AR29" s="188">
        <v>0.02585648148148148</v>
      </c>
      <c r="AS29" s="93">
        <v>888.6872998932766</v>
      </c>
      <c r="AT29" s="274"/>
      <c r="AU29" s="274"/>
      <c r="AV29" s="273"/>
      <c r="AW29" s="93"/>
      <c r="AX29" s="274"/>
      <c r="AY29" s="274"/>
      <c r="AZ29" s="275"/>
      <c r="BA29" s="93"/>
      <c r="BB29" s="274"/>
      <c r="BC29" s="274"/>
      <c r="BD29" s="275"/>
      <c r="BE29" s="93"/>
      <c r="BF29" s="277"/>
      <c r="BG29" s="277"/>
      <c r="BH29" s="277"/>
      <c r="BI29" s="93"/>
      <c r="BJ29" s="277"/>
      <c r="BK29" s="277"/>
      <c r="BL29" s="277"/>
      <c r="BM29" s="93"/>
      <c r="BN29" s="277" t="s">
        <v>759</v>
      </c>
      <c r="BO29" s="277" t="s">
        <v>3</v>
      </c>
      <c r="BP29" s="188">
        <v>0.060451388888888895</v>
      </c>
      <c r="BQ29" s="93">
        <v>789.8517145505095</v>
      </c>
      <c r="BR29" s="277" t="s">
        <v>759</v>
      </c>
      <c r="BS29" s="277" t="s">
        <v>3</v>
      </c>
      <c r="BT29" s="188">
        <v>0.04422453703703704</v>
      </c>
      <c r="BU29" s="93">
        <v>633.4048640915593</v>
      </c>
      <c r="BV29" s="277"/>
      <c r="BW29" s="277"/>
      <c r="BX29" s="277"/>
      <c r="BY29" s="35"/>
      <c r="BZ29" s="277"/>
      <c r="CA29" s="277"/>
      <c r="CB29" s="277"/>
      <c r="CC29" s="93"/>
      <c r="CD29" s="277" t="s">
        <v>237</v>
      </c>
      <c r="CE29" s="277" t="s">
        <v>3</v>
      </c>
      <c r="CF29" s="188">
        <v>0.04358796296296297</v>
      </c>
      <c r="CG29" s="93">
        <v>860.6530876172</v>
      </c>
      <c r="CH29" s="274"/>
      <c r="CI29" s="274"/>
      <c r="CJ29" s="275"/>
      <c r="CK29" s="93"/>
      <c r="CL29" s="274"/>
      <c r="CM29" s="274"/>
      <c r="CN29" s="275"/>
      <c r="CO29" s="93"/>
      <c r="CP29" s="274"/>
      <c r="CQ29" s="274"/>
      <c r="CR29" s="273"/>
      <c r="CS29" s="93"/>
      <c r="CT29" s="274"/>
      <c r="CU29" s="274"/>
      <c r="CV29" s="273"/>
      <c r="CW29" s="93"/>
      <c r="CX29" s="274" t="s">
        <v>493</v>
      </c>
      <c r="CY29" s="274" t="s">
        <v>3</v>
      </c>
      <c r="CZ29" s="273">
        <v>0.05628472222222222</v>
      </c>
      <c r="DA29" s="93">
        <v>791.2005965697242</v>
      </c>
      <c r="DB29" s="274" t="s">
        <v>493</v>
      </c>
      <c r="DC29" s="274" t="s">
        <v>3</v>
      </c>
      <c r="DD29" s="273">
        <v>0.04828703703703704</v>
      </c>
      <c r="DE29" s="93">
        <v>737.2881355932203</v>
      </c>
    </row>
    <row r="30" spans="1:112" s="262" customFormat="1" ht="12.75">
      <c r="A30" s="253">
        <v>17</v>
      </c>
      <c r="B30" s="259" t="s">
        <v>198</v>
      </c>
      <c r="C30" s="193" t="s">
        <v>187</v>
      </c>
      <c r="D30" s="193" t="s">
        <v>201</v>
      </c>
      <c r="E30" s="193"/>
      <c r="F30" s="190">
        <v>1978</v>
      </c>
      <c r="G30" s="255">
        <f>H30</f>
        <v>7853.6648484266825</v>
      </c>
      <c r="H30" s="256">
        <f t="shared" si="0"/>
        <v>7853.6648484266825</v>
      </c>
      <c r="I30" s="257">
        <v>9</v>
      </c>
      <c r="J30" s="280"/>
      <c r="K30" s="274"/>
      <c r="L30" s="281"/>
      <c r="M30" s="284"/>
      <c r="N30" s="274"/>
      <c r="O30" s="274"/>
      <c r="P30" s="281"/>
      <c r="Q30" s="284"/>
      <c r="R30" s="274" t="s">
        <v>387</v>
      </c>
      <c r="S30" s="274" t="s">
        <v>3</v>
      </c>
      <c r="T30" s="275">
        <v>0.05748842592592593</v>
      </c>
      <c r="U30" s="93">
        <v>970.9964781437745</v>
      </c>
      <c r="V30" s="274" t="s">
        <v>387</v>
      </c>
      <c r="W30" s="274" t="s">
        <v>3</v>
      </c>
      <c r="X30" s="275">
        <v>0.047731481481481486</v>
      </c>
      <c r="Y30" s="93">
        <v>933.264355923435</v>
      </c>
      <c r="Z30" s="274" t="s">
        <v>493</v>
      </c>
      <c r="AA30" s="274" t="s">
        <v>3</v>
      </c>
      <c r="AB30" s="188">
        <v>0.015717592592592592</v>
      </c>
      <c r="AC30" s="36">
        <v>869.7152717860224</v>
      </c>
      <c r="AD30" s="274" t="s">
        <v>493</v>
      </c>
      <c r="AE30" s="274" t="s">
        <v>3</v>
      </c>
      <c r="AF30" s="188">
        <v>0.06251157407407408</v>
      </c>
      <c r="AG30" s="36">
        <v>913.3396107972376</v>
      </c>
      <c r="AH30" s="274" t="s">
        <v>493</v>
      </c>
      <c r="AI30" s="274" t="s">
        <v>3</v>
      </c>
      <c r="AJ30" s="188">
        <v>0.051805555555555556</v>
      </c>
      <c r="AK30" s="36">
        <v>799.5572772551188</v>
      </c>
      <c r="AL30" s="274"/>
      <c r="AM30" s="274"/>
      <c r="AN30" s="273"/>
      <c r="AO30" s="93"/>
      <c r="AP30" s="274"/>
      <c r="AQ30" s="274"/>
      <c r="AR30" s="275"/>
      <c r="AS30" s="93"/>
      <c r="AT30" s="277" t="s">
        <v>656</v>
      </c>
      <c r="AU30" s="277" t="s">
        <v>3</v>
      </c>
      <c r="AV30" s="188">
        <v>0.02900462962962963</v>
      </c>
      <c r="AW30" s="93">
        <v>618.4121621621622</v>
      </c>
      <c r="AX30" s="277" t="s">
        <v>656</v>
      </c>
      <c r="AY30" s="277" t="s">
        <v>3</v>
      </c>
      <c r="AZ30" s="277"/>
      <c r="BA30" s="93"/>
      <c r="BB30" s="277" t="s">
        <v>656</v>
      </c>
      <c r="BC30" s="277" t="s">
        <v>3</v>
      </c>
      <c r="BD30" s="188">
        <v>0.04268518518518519</v>
      </c>
      <c r="BE30" s="93">
        <v>991.3827655310623</v>
      </c>
      <c r="BF30" s="274"/>
      <c r="BG30" s="274"/>
      <c r="BH30" s="273"/>
      <c r="BI30" s="93"/>
      <c r="BJ30" s="274"/>
      <c r="BK30" s="274"/>
      <c r="BL30" s="273"/>
      <c r="BM30" s="93"/>
      <c r="BN30" s="274"/>
      <c r="BO30" s="274"/>
      <c r="BP30" s="273"/>
      <c r="BQ30" s="93"/>
      <c r="BR30" s="274"/>
      <c r="BS30" s="274"/>
      <c r="BT30" s="273"/>
      <c r="BU30" s="93"/>
      <c r="BV30" s="277" t="s">
        <v>756</v>
      </c>
      <c r="BW30" s="277" t="s">
        <v>3</v>
      </c>
      <c r="BX30" s="188">
        <v>0.04033564814814815</v>
      </c>
      <c r="BY30" s="93">
        <v>857.4702886247878</v>
      </c>
      <c r="BZ30" s="277" t="s">
        <v>756</v>
      </c>
      <c r="CA30" s="277" t="s">
        <v>3</v>
      </c>
      <c r="CB30" s="188">
        <v>0.07128472222222222</v>
      </c>
      <c r="CC30" s="93">
        <v>899.5266382030817</v>
      </c>
      <c r="CD30" s="274"/>
      <c r="CE30" s="274"/>
      <c r="CF30" s="273"/>
      <c r="CG30" s="93"/>
      <c r="CH30" s="274"/>
      <c r="CI30" s="274"/>
      <c r="CJ30" s="275"/>
      <c r="CK30" s="93"/>
      <c r="CL30" s="274"/>
      <c r="CM30" s="274"/>
      <c r="CN30" s="275"/>
      <c r="CO30" s="93"/>
      <c r="CP30" s="274"/>
      <c r="CQ30" s="274"/>
      <c r="CR30" s="275"/>
      <c r="CS30" s="93"/>
      <c r="CT30" s="274"/>
      <c r="CU30" s="274"/>
      <c r="CV30" s="275"/>
      <c r="CW30" s="93"/>
      <c r="CX30" s="274"/>
      <c r="CY30" s="274"/>
      <c r="CZ30" s="275"/>
      <c r="DA30" s="93"/>
      <c r="DB30" s="274"/>
      <c r="DC30" s="274"/>
      <c r="DD30" s="275"/>
      <c r="DE30" s="93"/>
      <c r="DF30" s="192"/>
      <c r="DG30" s="192"/>
      <c r="DH30" s="192"/>
    </row>
    <row r="31" spans="1:112" s="262" customFormat="1" ht="12.75">
      <c r="A31" s="253">
        <v>18</v>
      </c>
      <c r="B31" s="259" t="s">
        <v>85</v>
      </c>
      <c r="C31" s="193" t="s">
        <v>10</v>
      </c>
      <c r="D31" s="193" t="s">
        <v>17</v>
      </c>
      <c r="E31" s="193"/>
      <c r="F31" s="190">
        <v>1976</v>
      </c>
      <c r="G31" s="255">
        <f>H31-AK31-M31</f>
        <v>7745.8787049421535</v>
      </c>
      <c r="H31" s="256">
        <f t="shared" si="0"/>
        <v>7745.8787049421535</v>
      </c>
      <c r="I31" s="257">
        <v>14</v>
      </c>
      <c r="J31" s="274" t="s">
        <v>404</v>
      </c>
      <c r="K31" s="274" t="s">
        <v>3</v>
      </c>
      <c r="L31" s="273" t="s">
        <v>358</v>
      </c>
      <c r="M31" s="550">
        <v>0</v>
      </c>
      <c r="N31" s="274" t="s">
        <v>418</v>
      </c>
      <c r="O31" s="274" t="s">
        <v>3</v>
      </c>
      <c r="P31" s="275">
        <v>0.05371527777777777</v>
      </c>
      <c r="Q31" s="93">
        <v>887.3171901222729</v>
      </c>
      <c r="R31" s="274"/>
      <c r="S31" s="274"/>
      <c r="T31" s="275"/>
      <c r="U31" s="93"/>
      <c r="V31" s="274"/>
      <c r="W31" s="274"/>
      <c r="X31" s="275"/>
      <c r="Y31" s="93"/>
      <c r="Z31" s="274" t="s">
        <v>493</v>
      </c>
      <c r="AA31" s="274" t="s">
        <v>3</v>
      </c>
      <c r="AB31" s="188">
        <v>0.017187499999999998</v>
      </c>
      <c r="AC31" s="36">
        <v>754.6591889559967</v>
      </c>
      <c r="AD31" s="274" t="s">
        <v>493</v>
      </c>
      <c r="AE31" s="274" t="s">
        <v>3</v>
      </c>
      <c r="AF31" s="188">
        <v>0.07314814814814814</v>
      </c>
      <c r="AG31" s="36">
        <v>711.4249843063403</v>
      </c>
      <c r="AH31" s="274" t="s">
        <v>493</v>
      </c>
      <c r="AI31" s="274" t="s">
        <v>3</v>
      </c>
      <c r="AJ31" s="276" t="s">
        <v>358</v>
      </c>
      <c r="AK31" s="550">
        <v>0</v>
      </c>
      <c r="AL31" s="277" t="s">
        <v>377</v>
      </c>
      <c r="AM31" s="277" t="s">
        <v>3</v>
      </c>
      <c r="AN31" s="276" t="s">
        <v>358</v>
      </c>
      <c r="AO31" s="93">
        <v>0</v>
      </c>
      <c r="AP31" s="277" t="s">
        <v>377</v>
      </c>
      <c r="AQ31" s="277" t="s">
        <v>3</v>
      </c>
      <c r="AR31" s="188">
        <v>0.02770833333333333</v>
      </c>
      <c r="AS31" s="93">
        <v>794.7705442902882</v>
      </c>
      <c r="AT31" s="274"/>
      <c r="AU31" s="274"/>
      <c r="AV31" s="273"/>
      <c r="AW31" s="93"/>
      <c r="AX31" s="274"/>
      <c r="AY31" s="274"/>
      <c r="AZ31" s="275"/>
      <c r="BA31" s="93"/>
      <c r="BB31" s="274"/>
      <c r="BC31" s="274"/>
      <c r="BD31" s="275"/>
      <c r="BE31" s="93"/>
      <c r="BF31" s="277" t="s">
        <v>759</v>
      </c>
      <c r="BG31" s="277" t="s">
        <v>3</v>
      </c>
      <c r="BH31" s="188">
        <v>0.035902777777777777</v>
      </c>
      <c r="BI31" s="93">
        <v>749.6977025392988</v>
      </c>
      <c r="BJ31" s="277" t="s">
        <v>759</v>
      </c>
      <c r="BK31" s="277" t="s">
        <v>3</v>
      </c>
      <c r="BL31" s="188">
        <v>0.01659722222222222</v>
      </c>
      <c r="BM31" s="93">
        <v>538.2262996941898</v>
      </c>
      <c r="BN31" s="277" t="s">
        <v>759</v>
      </c>
      <c r="BO31" s="277" t="s">
        <v>3</v>
      </c>
      <c r="BP31" s="188">
        <v>0.0680324074074074</v>
      </c>
      <c r="BQ31" s="93">
        <v>638.0908248378128</v>
      </c>
      <c r="BR31" s="277" t="s">
        <v>759</v>
      </c>
      <c r="BS31" s="277" t="s">
        <v>3</v>
      </c>
      <c r="BT31" s="188">
        <v>0.03921296296296296</v>
      </c>
      <c r="BU31" s="93">
        <v>788.2689556509299</v>
      </c>
      <c r="BV31" s="274"/>
      <c r="BW31" s="274"/>
      <c r="BX31" s="273"/>
      <c r="BY31" s="93"/>
      <c r="BZ31" s="274"/>
      <c r="CA31" s="274"/>
      <c r="CB31" s="273"/>
      <c r="CC31" s="93"/>
      <c r="CD31" s="277" t="s">
        <v>237</v>
      </c>
      <c r="CE31" s="277" t="s">
        <v>3</v>
      </c>
      <c r="CF31" s="188">
        <v>0.06232638888888889</v>
      </c>
      <c r="CG31" s="93">
        <v>284.8690591658582</v>
      </c>
      <c r="CH31" s="274" t="s">
        <v>656</v>
      </c>
      <c r="CI31" s="274" t="s">
        <v>3</v>
      </c>
      <c r="CJ31" s="273">
        <v>0.014976851851851852</v>
      </c>
      <c r="CK31" s="93">
        <v>744.9078564500486</v>
      </c>
      <c r="CL31" s="274" t="s">
        <v>656</v>
      </c>
      <c r="CM31" s="274" t="s">
        <v>3</v>
      </c>
      <c r="CN31" s="273">
        <v>0.05203703703703704</v>
      </c>
      <c r="CO31" s="93">
        <v>853.6460989291177</v>
      </c>
      <c r="CP31" s="274"/>
      <c r="CQ31" s="274"/>
      <c r="CR31" s="273"/>
      <c r="CS31" s="93"/>
      <c r="CT31" s="274"/>
      <c r="CU31" s="274"/>
      <c r="CV31" s="273"/>
      <c r="CW31" s="93"/>
      <c r="CX31" s="274"/>
      <c r="CY31" s="274"/>
      <c r="CZ31" s="273"/>
      <c r="DA31" s="93"/>
      <c r="DB31" s="274"/>
      <c r="DC31" s="274"/>
      <c r="DD31" s="273"/>
      <c r="DE31" s="93"/>
      <c r="DF31" s="192"/>
      <c r="DG31" s="192"/>
      <c r="DH31" s="192"/>
    </row>
    <row r="32" spans="1:112" s="262" customFormat="1" ht="12.75">
      <c r="A32" s="253">
        <v>19</v>
      </c>
      <c r="B32" s="259" t="s">
        <v>68</v>
      </c>
      <c r="C32" s="193" t="s">
        <v>10</v>
      </c>
      <c r="D32" s="193" t="s">
        <v>69</v>
      </c>
      <c r="E32" s="193" t="s">
        <v>359</v>
      </c>
      <c r="F32" s="548">
        <v>1997</v>
      </c>
      <c r="G32" s="255">
        <f>H32-AW32-AK32</f>
        <v>7694.160916852437</v>
      </c>
      <c r="H32" s="256">
        <f t="shared" si="0"/>
        <v>8051.2555114470315</v>
      </c>
      <c r="I32" s="257">
        <v>14</v>
      </c>
      <c r="J32" s="274"/>
      <c r="K32" s="274"/>
      <c r="L32" s="275"/>
      <c r="M32" s="93"/>
      <c r="N32" s="274"/>
      <c r="O32" s="274"/>
      <c r="P32" s="275"/>
      <c r="Q32" s="284"/>
      <c r="R32" s="277"/>
      <c r="S32" s="277"/>
      <c r="T32" s="288"/>
      <c r="U32" s="93"/>
      <c r="V32" s="277"/>
      <c r="W32" s="277"/>
      <c r="X32" s="275"/>
      <c r="Y32" s="93"/>
      <c r="Z32" s="274" t="s">
        <v>584</v>
      </c>
      <c r="AA32" s="274" t="s">
        <v>4</v>
      </c>
      <c r="AB32" s="278">
        <v>0.014317129629629631</v>
      </c>
      <c r="AC32" s="93">
        <v>758.956784386617</v>
      </c>
      <c r="AD32" s="274" t="s">
        <v>584</v>
      </c>
      <c r="AE32" s="274" t="s">
        <v>4</v>
      </c>
      <c r="AF32" s="275">
        <v>0.09747685185185184</v>
      </c>
      <c r="AG32" s="93">
        <v>456.03341584158426</v>
      </c>
      <c r="AH32" s="274" t="s">
        <v>584</v>
      </c>
      <c r="AI32" s="274" t="s">
        <v>4</v>
      </c>
      <c r="AJ32" s="275" t="s">
        <v>358</v>
      </c>
      <c r="AK32" s="550">
        <v>0</v>
      </c>
      <c r="AL32" s="285" t="s">
        <v>369</v>
      </c>
      <c r="AM32" s="277" t="s">
        <v>4</v>
      </c>
      <c r="AN32" s="188">
        <v>0.12217592592592592</v>
      </c>
      <c r="AO32" s="93">
        <v>680.1434599156121</v>
      </c>
      <c r="AP32" s="285" t="s">
        <v>369</v>
      </c>
      <c r="AQ32" s="277" t="s">
        <v>3</v>
      </c>
      <c r="AR32" s="188">
        <v>0.03399305555555556</v>
      </c>
      <c r="AS32" s="93">
        <v>476.04055496264635</v>
      </c>
      <c r="AT32" s="277" t="s">
        <v>656</v>
      </c>
      <c r="AU32" s="277" t="s">
        <v>3</v>
      </c>
      <c r="AV32" s="188">
        <v>0.03412037037037037</v>
      </c>
      <c r="AW32" s="550">
        <v>357.0945945945945</v>
      </c>
      <c r="AX32" s="277" t="s">
        <v>656</v>
      </c>
      <c r="AY32" s="277" t="s">
        <v>3</v>
      </c>
      <c r="AZ32" s="188">
        <v>0.05766203703703704</v>
      </c>
      <c r="BA32" s="93">
        <v>364.3994691439947</v>
      </c>
      <c r="BB32" s="277" t="s">
        <v>656</v>
      </c>
      <c r="BC32" s="277" t="s">
        <v>3</v>
      </c>
      <c r="BD32" s="188">
        <v>0.051180555555555556</v>
      </c>
      <c r="BE32" s="93">
        <v>770.7414829659322</v>
      </c>
      <c r="BF32" s="277" t="s">
        <v>759</v>
      </c>
      <c r="BG32" s="277" t="s">
        <v>3</v>
      </c>
      <c r="BH32" s="188">
        <v>0.03327546296296296</v>
      </c>
      <c r="BI32" s="93">
        <v>841.1930673115681</v>
      </c>
      <c r="BJ32" s="277" t="s">
        <v>759</v>
      </c>
      <c r="BK32" s="277" t="s">
        <v>3</v>
      </c>
      <c r="BL32" s="188">
        <v>0.012488425925925925</v>
      </c>
      <c r="BM32" s="93">
        <v>900.1019367991845</v>
      </c>
      <c r="BN32" s="277" t="s">
        <v>759</v>
      </c>
      <c r="BO32" s="277" t="s">
        <v>3</v>
      </c>
      <c r="BP32" s="188">
        <v>0.06783564814814814</v>
      </c>
      <c r="BQ32" s="93">
        <v>642.029657089898</v>
      </c>
      <c r="BR32" s="277" t="s">
        <v>759</v>
      </c>
      <c r="BS32" s="277" t="s">
        <v>3</v>
      </c>
      <c r="BT32" s="188">
        <v>0.043101851851851856</v>
      </c>
      <c r="BU32" s="93">
        <v>668.0972818311873</v>
      </c>
      <c r="BV32" s="277" t="s">
        <v>762</v>
      </c>
      <c r="BW32" s="277" t="s">
        <v>4</v>
      </c>
      <c r="BX32" s="188">
        <v>0.05081018518518519</v>
      </c>
      <c r="BY32" s="93">
        <v>440.05379959650304</v>
      </c>
      <c r="BZ32" s="277" t="s">
        <v>762</v>
      </c>
      <c r="CA32" s="277" t="s">
        <v>4</v>
      </c>
      <c r="CB32" s="188">
        <v>0.058020833333333334</v>
      </c>
      <c r="CC32" s="93">
        <v>696.3700070077085</v>
      </c>
      <c r="CD32" s="274"/>
      <c r="CE32" s="274"/>
      <c r="CF32" s="275"/>
      <c r="CG32" s="93"/>
      <c r="CH32" s="274"/>
      <c r="CI32" s="274"/>
      <c r="CJ32" s="273"/>
      <c r="CK32" s="93"/>
      <c r="CL32" s="274"/>
      <c r="CM32" s="274"/>
      <c r="CN32" s="273"/>
      <c r="CO32" s="93"/>
      <c r="CP32" s="274"/>
      <c r="CQ32" s="274"/>
      <c r="CR32" s="275"/>
      <c r="CS32" s="93"/>
      <c r="CT32" s="274"/>
      <c r="CU32" s="274"/>
      <c r="CV32" s="275"/>
      <c r="CW32" s="93"/>
      <c r="CX32" s="274"/>
      <c r="CY32" s="274"/>
      <c r="CZ32" s="275"/>
      <c r="DA32" s="93"/>
      <c r="DB32" s="274"/>
      <c r="DC32" s="274"/>
      <c r="DD32" s="275"/>
      <c r="DE32" s="93"/>
      <c r="DF32" s="192"/>
      <c r="DG32" s="192"/>
      <c r="DH32" s="192"/>
    </row>
    <row r="33" spans="1:112" s="262" customFormat="1" ht="12.75">
      <c r="A33" s="253">
        <v>20</v>
      </c>
      <c r="B33" s="259" t="s">
        <v>22</v>
      </c>
      <c r="C33" s="193" t="s">
        <v>10</v>
      </c>
      <c r="D33" s="193" t="s">
        <v>23</v>
      </c>
      <c r="E33" s="193"/>
      <c r="F33" s="190">
        <v>1988</v>
      </c>
      <c r="G33" s="255">
        <f>H33-AW33-BA33-AG33</f>
        <v>7456.289641323371</v>
      </c>
      <c r="H33" s="256">
        <f t="shared" si="0"/>
        <v>8026.902106442208</v>
      </c>
      <c r="I33" s="257">
        <v>15</v>
      </c>
      <c r="J33" s="277" t="s">
        <v>404</v>
      </c>
      <c r="K33" s="277" t="s">
        <v>3</v>
      </c>
      <c r="L33" s="188">
        <v>0.04120370370370371</v>
      </c>
      <c r="M33" s="93">
        <v>589.5404120443739</v>
      </c>
      <c r="N33" s="274" t="s">
        <v>418</v>
      </c>
      <c r="O33" s="274" t="s">
        <v>3</v>
      </c>
      <c r="P33" s="275">
        <v>0.05709490740740741</v>
      </c>
      <c r="Q33" s="93">
        <v>817.3099976024934</v>
      </c>
      <c r="R33" s="274"/>
      <c r="S33" s="274"/>
      <c r="T33" s="275"/>
      <c r="U33" s="93"/>
      <c r="V33" s="274"/>
      <c r="W33" s="274"/>
      <c r="X33" s="275"/>
      <c r="Y33" s="93"/>
      <c r="Z33" s="274" t="s">
        <v>493</v>
      </c>
      <c r="AA33" s="274" t="s">
        <v>3</v>
      </c>
      <c r="AB33" s="188">
        <v>0.020092592592592592</v>
      </c>
      <c r="AC33" s="36">
        <v>527.264883520276</v>
      </c>
      <c r="AD33" s="274" t="s">
        <v>493</v>
      </c>
      <c r="AE33" s="274" t="s">
        <v>3</v>
      </c>
      <c r="AF33" s="188">
        <v>0.09461805555555557</v>
      </c>
      <c r="AG33" s="550">
        <v>303.86064030131797</v>
      </c>
      <c r="AH33" s="274" t="s">
        <v>493</v>
      </c>
      <c r="AI33" s="274" t="s">
        <v>3</v>
      </c>
      <c r="AJ33" s="188">
        <v>0.07155092592592592</v>
      </c>
      <c r="AK33" s="36">
        <v>303.901494189264</v>
      </c>
      <c r="AL33" s="277" t="s">
        <v>377</v>
      </c>
      <c r="AM33" s="277" t="s">
        <v>3</v>
      </c>
      <c r="AN33" s="188">
        <v>0.11997685185185185</v>
      </c>
      <c r="AO33" s="93">
        <v>541.9223498618585</v>
      </c>
      <c r="AP33" s="277" t="s">
        <v>377</v>
      </c>
      <c r="AQ33" s="277" t="s">
        <v>3</v>
      </c>
      <c r="AR33" s="188">
        <v>0.03203703703703704</v>
      </c>
      <c r="AS33" s="93">
        <v>575.2401280683031</v>
      </c>
      <c r="AT33" s="277" t="s">
        <v>656</v>
      </c>
      <c r="AU33" s="277" t="s">
        <v>3</v>
      </c>
      <c r="AV33" s="188">
        <v>0.04247685185185185</v>
      </c>
      <c r="AW33" s="550">
        <v>10</v>
      </c>
      <c r="AX33" s="277" t="s">
        <v>656</v>
      </c>
      <c r="AY33" s="277" t="s">
        <v>3</v>
      </c>
      <c r="AZ33" s="188">
        <v>0.061238425925925925</v>
      </c>
      <c r="BA33" s="550">
        <v>256.75182481751824</v>
      </c>
      <c r="BB33" s="277" t="s">
        <v>656</v>
      </c>
      <c r="BC33" s="277" t="s">
        <v>3</v>
      </c>
      <c r="BD33" s="188">
        <v>0.05755787037037038</v>
      </c>
      <c r="BE33" s="93">
        <v>605.1102204408817</v>
      </c>
      <c r="BF33" s="277" t="s">
        <v>754</v>
      </c>
      <c r="BG33" s="277" t="s">
        <v>4</v>
      </c>
      <c r="BH33" s="188">
        <v>0.02974537037037037</v>
      </c>
      <c r="BI33" s="93">
        <v>695.0704225352113</v>
      </c>
      <c r="BJ33" s="277" t="s">
        <v>754</v>
      </c>
      <c r="BK33" s="277" t="s">
        <v>4</v>
      </c>
      <c r="BL33" s="188">
        <v>0.011967592592592592</v>
      </c>
      <c r="BM33" s="93">
        <v>709.5801937567276</v>
      </c>
      <c r="BN33" s="277" t="s">
        <v>754</v>
      </c>
      <c r="BO33" s="277" t="s">
        <v>4</v>
      </c>
      <c r="BP33" s="188">
        <v>0.043368055555555556</v>
      </c>
      <c r="BQ33" s="93">
        <v>755.8434243874965</v>
      </c>
      <c r="BR33" s="277" t="s">
        <v>754</v>
      </c>
      <c r="BS33" s="277" t="s">
        <v>4</v>
      </c>
      <c r="BT33" s="188">
        <v>0.03344907407407407</v>
      </c>
      <c r="BU33" s="93">
        <v>604.3066322136092</v>
      </c>
      <c r="BV33" s="274"/>
      <c r="BW33" s="274"/>
      <c r="BX33" s="273"/>
      <c r="BY33" s="93"/>
      <c r="BZ33" s="274"/>
      <c r="CA33" s="274"/>
      <c r="CB33" s="273"/>
      <c r="CC33" s="93"/>
      <c r="CD33" s="277" t="s">
        <v>237</v>
      </c>
      <c r="CE33" s="277" t="s">
        <v>3</v>
      </c>
      <c r="CF33" s="188">
        <v>0.04780092592592592</v>
      </c>
      <c r="CG33" s="93">
        <v>731.1994827028775</v>
      </c>
      <c r="CH33" s="274"/>
      <c r="CI33" s="274"/>
      <c r="CJ33" s="275"/>
      <c r="CK33" s="93"/>
      <c r="CL33" s="274"/>
      <c r="CM33" s="274"/>
      <c r="CN33" s="275"/>
      <c r="CO33" s="93"/>
      <c r="CP33" s="274"/>
      <c r="CQ33" s="274"/>
      <c r="CR33" s="275"/>
      <c r="CS33" s="93"/>
      <c r="CT33" s="274"/>
      <c r="CU33" s="274"/>
      <c r="CV33" s="275"/>
      <c r="CW33" s="93"/>
      <c r="CX33" s="274"/>
      <c r="CY33" s="274"/>
      <c r="CZ33" s="275"/>
      <c r="DA33" s="93"/>
      <c r="DB33" s="274"/>
      <c r="DC33" s="274"/>
      <c r="DD33" s="275"/>
      <c r="DE33" s="93"/>
      <c r="DF33" s="192"/>
      <c r="DG33" s="192"/>
      <c r="DH33" s="192"/>
    </row>
    <row r="34" spans="1:109" s="262" customFormat="1" ht="12.75">
      <c r="A34" s="253">
        <v>21</v>
      </c>
      <c r="B34" s="259" t="s">
        <v>340</v>
      </c>
      <c r="C34" s="193" t="s">
        <v>10</v>
      </c>
      <c r="D34" s="193" t="s">
        <v>235</v>
      </c>
      <c r="E34" s="193"/>
      <c r="F34" s="190">
        <v>1990</v>
      </c>
      <c r="G34" s="255">
        <f>H34</f>
        <v>7201.865818675194</v>
      </c>
      <c r="H34" s="256">
        <f t="shared" si="0"/>
        <v>7201.865818675194</v>
      </c>
      <c r="I34" s="257">
        <v>11</v>
      </c>
      <c r="J34" s="289"/>
      <c r="K34" s="277"/>
      <c r="L34" s="276"/>
      <c r="M34" s="35"/>
      <c r="N34" s="277"/>
      <c r="O34" s="277"/>
      <c r="P34" s="276"/>
      <c r="Q34" s="35"/>
      <c r="R34" s="277"/>
      <c r="S34" s="277"/>
      <c r="T34" s="278"/>
      <c r="U34" s="36"/>
      <c r="V34" s="277"/>
      <c r="W34" s="277"/>
      <c r="X34" s="276"/>
      <c r="Y34" s="290"/>
      <c r="Z34" s="274" t="s">
        <v>592</v>
      </c>
      <c r="AA34" s="274" t="s">
        <v>159</v>
      </c>
      <c r="AB34" s="275">
        <v>0.01709490740740741</v>
      </c>
      <c r="AC34" s="93">
        <v>803.813559322034</v>
      </c>
      <c r="AD34" s="274" t="s">
        <v>592</v>
      </c>
      <c r="AE34" s="274" t="s">
        <v>159</v>
      </c>
      <c r="AF34" s="275" t="s">
        <v>358</v>
      </c>
      <c r="AG34" s="93">
        <v>0</v>
      </c>
      <c r="AH34" s="274" t="s">
        <v>592</v>
      </c>
      <c r="AI34" s="274" t="s">
        <v>159</v>
      </c>
      <c r="AJ34" s="275">
        <v>0.04045138888888889</v>
      </c>
      <c r="AK34" s="93">
        <v>790.0939678690512</v>
      </c>
      <c r="AL34" s="277" t="s">
        <v>377</v>
      </c>
      <c r="AM34" s="277" t="s">
        <v>3</v>
      </c>
      <c r="AN34" s="188">
        <v>0.11586805555555556</v>
      </c>
      <c r="AO34" s="93">
        <v>598.705831030973</v>
      </c>
      <c r="AP34" s="277" t="s">
        <v>377</v>
      </c>
      <c r="AQ34" s="277" t="s">
        <v>3</v>
      </c>
      <c r="AR34" s="188">
        <v>0.027268518518518515</v>
      </c>
      <c r="AS34" s="93">
        <v>817.075773745998</v>
      </c>
      <c r="AT34" s="274"/>
      <c r="AU34" s="274"/>
      <c r="AV34" s="275"/>
      <c r="AW34" s="93"/>
      <c r="AX34" s="274"/>
      <c r="AY34" s="274"/>
      <c r="AZ34" s="275"/>
      <c r="BA34" s="93"/>
      <c r="BB34" s="274"/>
      <c r="BC34" s="274"/>
      <c r="BD34" s="273"/>
      <c r="BE34" s="93"/>
      <c r="BF34" s="277" t="s">
        <v>754</v>
      </c>
      <c r="BG34" s="277" t="s">
        <v>4</v>
      </c>
      <c r="BH34" s="188">
        <v>0.029490740740740744</v>
      </c>
      <c r="BI34" s="93">
        <v>702.8169014084505</v>
      </c>
      <c r="BJ34" s="277" t="s">
        <v>754</v>
      </c>
      <c r="BK34" s="277" t="s">
        <v>4</v>
      </c>
      <c r="BL34" s="188">
        <v>0.01244212962962963</v>
      </c>
      <c r="BM34" s="93">
        <v>674.2734122712593</v>
      </c>
      <c r="BN34" s="277" t="s">
        <v>754</v>
      </c>
      <c r="BO34" s="277" t="s">
        <v>4</v>
      </c>
      <c r="BP34" s="188">
        <v>0.04327546296296297</v>
      </c>
      <c r="BQ34" s="93">
        <v>757.6457335961701</v>
      </c>
      <c r="BR34" s="277" t="s">
        <v>754</v>
      </c>
      <c r="BS34" s="277" t="s">
        <v>4</v>
      </c>
      <c r="BT34" s="188">
        <v>0.027615740740740743</v>
      </c>
      <c r="BU34" s="93">
        <v>777.9500430663221</v>
      </c>
      <c r="BV34" s="274"/>
      <c r="BW34" s="274"/>
      <c r="BX34" s="273"/>
      <c r="BY34" s="93"/>
      <c r="BZ34" s="274"/>
      <c r="CA34" s="274"/>
      <c r="CB34" s="273"/>
      <c r="CC34" s="93"/>
      <c r="CD34" s="274"/>
      <c r="CE34" s="274"/>
      <c r="CF34" s="281"/>
      <c r="CG34" s="93"/>
      <c r="CH34" s="274"/>
      <c r="CI34" s="274"/>
      <c r="CJ34" s="275"/>
      <c r="CK34" s="93"/>
      <c r="CL34" s="274"/>
      <c r="CM34" s="274"/>
      <c r="CN34" s="275"/>
      <c r="CO34" s="93"/>
      <c r="CP34" s="274" t="s">
        <v>853</v>
      </c>
      <c r="CQ34" s="274" t="s">
        <v>3</v>
      </c>
      <c r="CR34" s="275">
        <v>0.04231481481481481</v>
      </c>
      <c r="CS34" s="93">
        <v>610.4142911440517</v>
      </c>
      <c r="CT34" s="274" t="s">
        <v>853</v>
      </c>
      <c r="CU34" s="274" t="s">
        <v>3</v>
      </c>
      <c r="CV34" s="275">
        <v>0.019178240740740742</v>
      </c>
      <c r="CW34" s="93">
        <v>669.0763052208832</v>
      </c>
      <c r="CX34" s="274"/>
      <c r="CY34" s="274"/>
      <c r="CZ34" s="273"/>
      <c r="DA34" s="93"/>
      <c r="DB34" s="274"/>
      <c r="DC34" s="274"/>
      <c r="DD34" s="273"/>
      <c r="DE34" s="93"/>
    </row>
    <row r="35" spans="1:109" s="262" customFormat="1" ht="12.75">
      <c r="A35" s="253">
        <v>22</v>
      </c>
      <c r="B35" s="259" t="s">
        <v>93</v>
      </c>
      <c r="C35" s="193" t="s">
        <v>10</v>
      </c>
      <c r="D35" s="193" t="s">
        <v>11</v>
      </c>
      <c r="E35" s="193" t="s">
        <v>360</v>
      </c>
      <c r="F35" s="190">
        <v>1977</v>
      </c>
      <c r="G35" s="255">
        <f>H35</f>
        <v>6844.547378374518</v>
      </c>
      <c r="H35" s="256">
        <f t="shared" si="0"/>
        <v>6844.547378374518</v>
      </c>
      <c r="I35" s="257">
        <v>12</v>
      </c>
      <c r="J35" s="280"/>
      <c r="K35" s="274"/>
      <c r="L35" s="275"/>
      <c r="M35" s="93"/>
      <c r="N35" s="274"/>
      <c r="O35" s="274"/>
      <c r="P35" s="275"/>
      <c r="Q35" s="93"/>
      <c r="R35" s="274"/>
      <c r="S35" s="274"/>
      <c r="T35" s="281"/>
      <c r="U35" s="93"/>
      <c r="V35" s="274"/>
      <c r="W35" s="274"/>
      <c r="X35" s="275"/>
      <c r="Y35" s="93"/>
      <c r="Z35" s="274" t="s">
        <v>493</v>
      </c>
      <c r="AA35" s="274" t="s">
        <v>3</v>
      </c>
      <c r="AB35" s="276" t="s">
        <v>358</v>
      </c>
      <c r="AC35" s="36">
        <v>0</v>
      </c>
      <c r="AD35" s="274" t="s">
        <v>493</v>
      </c>
      <c r="AE35" s="274" t="s">
        <v>3</v>
      </c>
      <c r="AF35" s="276" t="s">
        <v>358</v>
      </c>
      <c r="AG35" s="36">
        <v>0</v>
      </c>
      <c r="AH35" s="274" t="s">
        <v>493</v>
      </c>
      <c r="AI35" s="274" t="s">
        <v>3</v>
      </c>
      <c r="AJ35" s="188">
        <v>0.0590625</v>
      </c>
      <c r="AK35" s="36">
        <v>617.3907028223574</v>
      </c>
      <c r="AL35" s="277" t="s">
        <v>633</v>
      </c>
      <c r="AM35" s="277" t="s">
        <v>159</v>
      </c>
      <c r="AN35" s="276" t="s">
        <v>358</v>
      </c>
      <c r="AO35" s="93">
        <v>0</v>
      </c>
      <c r="AP35" s="277" t="s">
        <v>377</v>
      </c>
      <c r="AQ35" s="277" t="s">
        <v>3</v>
      </c>
      <c r="AR35" s="188">
        <v>0.02517361111111111</v>
      </c>
      <c r="AS35" s="93">
        <v>923.3191035218786</v>
      </c>
      <c r="AT35" s="274"/>
      <c r="AU35" s="274"/>
      <c r="AV35" s="273"/>
      <c r="AW35" s="93"/>
      <c r="AX35" s="274"/>
      <c r="AY35" s="274"/>
      <c r="AZ35" s="275"/>
      <c r="BA35" s="93"/>
      <c r="BB35" s="274"/>
      <c r="BC35" s="274"/>
      <c r="BD35" s="273"/>
      <c r="BE35" s="93"/>
      <c r="BF35" s="277" t="s">
        <v>753</v>
      </c>
      <c r="BG35" s="277" t="s">
        <v>4</v>
      </c>
      <c r="BH35" s="188">
        <v>0.03113425925925926</v>
      </c>
      <c r="BI35" s="93">
        <v>652.8169014084506</v>
      </c>
      <c r="BJ35" s="277" t="s">
        <v>753</v>
      </c>
      <c r="BK35" s="277" t="s">
        <v>4</v>
      </c>
      <c r="BL35" s="188">
        <v>0.010752314814814814</v>
      </c>
      <c r="BM35" s="93">
        <v>800</v>
      </c>
      <c r="BN35" s="277" t="s">
        <v>753</v>
      </c>
      <c r="BO35" s="277" t="s">
        <v>4</v>
      </c>
      <c r="BP35" s="188">
        <v>0.0487037037037037</v>
      </c>
      <c r="BQ35" s="93">
        <v>651.9853562376798</v>
      </c>
      <c r="BR35" s="277" t="s">
        <v>753</v>
      </c>
      <c r="BS35" s="277" t="s">
        <v>4</v>
      </c>
      <c r="BT35" s="188">
        <v>0.029594907407407407</v>
      </c>
      <c r="BU35" s="93">
        <v>719.0353143841517</v>
      </c>
      <c r="BV35" s="274"/>
      <c r="BW35" s="274"/>
      <c r="BX35" s="273"/>
      <c r="BY35" s="93"/>
      <c r="BZ35" s="274"/>
      <c r="CA35" s="274"/>
      <c r="CB35" s="273"/>
      <c r="CC35" s="93"/>
      <c r="CD35" s="277" t="s">
        <v>633</v>
      </c>
      <c r="CE35" s="277" t="s">
        <v>4</v>
      </c>
      <c r="CF35" s="279">
        <v>0.03451388888888889</v>
      </c>
      <c r="CG35" s="93">
        <v>880.0000000000001</v>
      </c>
      <c r="CH35" s="274"/>
      <c r="CI35" s="274"/>
      <c r="CJ35" s="281"/>
      <c r="CK35" s="93"/>
      <c r="CL35" s="274"/>
      <c r="CM35" s="274"/>
      <c r="CN35" s="281"/>
      <c r="CO35" s="93"/>
      <c r="CP35" s="274"/>
      <c r="CQ35" s="274"/>
      <c r="CR35" s="281"/>
      <c r="CS35" s="93"/>
      <c r="CT35" s="274"/>
      <c r="CU35" s="274"/>
      <c r="CV35" s="281"/>
      <c r="CW35" s="93"/>
      <c r="CX35" s="274" t="s">
        <v>401</v>
      </c>
      <c r="CY35" s="274" t="s">
        <v>4</v>
      </c>
      <c r="CZ35" s="275">
        <v>0.034479166666666665</v>
      </c>
      <c r="DA35" s="93">
        <v>800</v>
      </c>
      <c r="DB35" s="274" t="s">
        <v>401</v>
      </c>
      <c r="DC35" s="274" t="s">
        <v>4</v>
      </c>
      <c r="DD35" s="275">
        <v>0.048726851851851855</v>
      </c>
      <c r="DE35" s="93">
        <v>800</v>
      </c>
    </row>
    <row r="36" spans="1:109" s="262" customFormat="1" ht="12.75">
      <c r="A36" s="253">
        <v>23</v>
      </c>
      <c r="B36" s="259" t="s">
        <v>593</v>
      </c>
      <c r="C36" s="193" t="s">
        <v>187</v>
      </c>
      <c r="D36" s="193" t="s">
        <v>786</v>
      </c>
      <c r="E36" s="193"/>
      <c r="F36" s="190"/>
      <c r="G36" s="255">
        <f>H36</f>
        <v>6520.979415221574</v>
      </c>
      <c r="H36" s="256">
        <f t="shared" si="0"/>
        <v>6520.979415221574</v>
      </c>
      <c r="I36" s="257">
        <v>11</v>
      </c>
      <c r="J36" s="289"/>
      <c r="K36" s="277"/>
      <c r="L36" s="276"/>
      <c r="M36" s="35"/>
      <c r="N36" s="277"/>
      <c r="O36" s="277"/>
      <c r="P36" s="276"/>
      <c r="Q36" s="35"/>
      <c r="R36" s="277"/>
      <c r="S36" s="277"/>
      <c r="T36" s="278"/>
      <c r="U36" s="36"/>
      <c r="V36" s="277"/>
      <c r="W36" s="277"/>
      <c r="X36" s="276"/>
      <c r="Y36" s="290"/>
      <c r="Z36" s="274" t="s">
        <v>592</v>
      </c>
      <c r="AA36" s="274" t="s">
        <v>159</v>
      </c>
      <c r="AB36" s="275">
        <v>0.02351851851851852</v>
      </c>
      <c r="AC36" s="93">
        <v>474.5762711864408</v>
      </c>
      <c r="AD36" s="274" t="s">
        <v>592</v>
      </c>
      <c r="AE36" s="274" t="s">
        <v>159</v>
      </c>
      <c r="AF36" s="275">
        <v>0.04811342592592593</v>
      </c>
      <c r="AG36" s="93">
        <v>761.3259668508286</v>
      </c>
      <c r="AH36" s="274" t="s">
        <v>592</v>
      </c>
      <c r="AI36" s="274" t="s">
        <v>159</v>
      </c>
      <c r="AJ36" s="275">
        <v>0.043773148148148144</v>
      </c>
      <c r="AK36" s="93">
        <v>717.0172779630193</v>
      </c>
      <c r="AL36" s="274"/>
      <c r="AM36" s="274"/>
      <c r="AN36" s="273"/>
      <c r="AO36" s="93"/>
      <c r="AP36" s="274"/>
      <c r="AQ36" s="274"/>
      <c r="AR36" s="273"/>
      <c r="AS36" s="93"/>
      <c r="AT36" s="286" t="s">
        <v>687</v>
      </c>
      <c r="AU36" s="286" t="s">
        <v>4</v>
      </c>
      <c r="AV36" s="287">
        <v>0.030358796296296297</v>
      </c>
      <c r="AW36" s="93">
        <v>445.64705882352933</v>
      </c>
      <c r="AX36" s="286" t="s">
        <v>687</v>
      </c>
      <c r="AY36" s="286" t="s">
        <v>4</v>
      </c>
      <c r="AZ36" s="287">
        <v>0.03635416666666667</v>
      </c>
      <c r="BA36" s="93">
        <v>591.0854312835326</v>
      </c>
      <c r="BB36" s="286" t="s">
        <v>687</v>
      </c>
      <c r="BC36" s="286" t="s">
        <v>4</v>
      </c>
      <c r="BD36" s="287">
        <v>0.04712962962962963</v>
      </c>
      <c r="BE36" s="93">
        <v>520.1220752797558</v>
      </c>
      <c r="BF36" s="277" t="s">
        <v>754</v>
      </c>
      <c r="BG36" s="277" t="s">
        <v>4</v>
      </c>
      <c r="BH36" s="188">
        <v>0.03335648148148148</v>
      </c>
      <c r="BI36" s="93">
        <v>585.2112676056338</v>
      </c>
      <c r="BJ36" s="277" t="s">
        <v>754</v>
      </c>
      <c r="BK36" s="277" t="s">
        <v>4</v>
      </c>
      <c r="BL36" s="188">
        <v>0.011886574074074075</v>
      </c>
      <c r="BM36" s="93">
        <v>715.6081808396121</v>
      </c>
      <c r="BN36" s="277" t="s">
        <v>754</v>
      </c>
      <c r="BO36" s="277" t="s">
        <v>4</v>
      </c>
      <c r="BP36" s="188">
        <v>0.05142361111111111</v>
      </c>
      <c r="BQ36" s="93">
        <v>599.0425232328922</v>
      </c>
      <c r="BR36" s="277" t="s">
        <v>754</v>
      </c>
      <c r="BS36" s="277" t="s">
        <v>4</v>
      </c>
      <c r="BT36" s="188">
        <v>0.03177083333333333</v>
      </c>
      <c r="BU36" s="93">
        <v>654.2635658914729</v>
      </c>
      <c r="BV36" s="277" t="s">
        <v>756</v>
      </c>
      <c r="BW36" s="277" t="s">
        <v>3</v>
      </c>
      <c r="BX36" s="188">
        <v>0.05333333333333334</v>
      </c>
      <c r="BY36" s="93">
        <v>457.07979626485564</v>
      </c>
      <c r="BZ36" s="274"/>
      <c r="CA36" s="274"/>
      <c r="CB36" s="275"/>
      <c r="CC36" s="93"/>
      <c r="CD36" s="274"/>
      <c r="CE36" s="274"/>
      <c r="CF36" s="275"/>
      <c r="CG36" s="93"/>
      <c r="CH36" s="274"/>
      <c r="CI36" s="274"/>
      <c r="CJ36" s="273"/>
      <c r="CK36" s="93"/>
      <c r="CL36" s="274"/>
      <c r="CM36" s="274"/>
      <c r="CN36" s="273"/>
      <c r="CO36" s="93"/>
      <c r="CP36" s="274"/>
      <c r="CQ36" s="274"/>
      <c r="CR36" s="273"/>
      <c r="CS36" s="93"/>
      <c r="CT36" s="274"/>
      <c r="CU36" s="274"/>
      <c r="CV36" s="273"/>
      <c r="CW36" s="93"/>
      <c r="CX36" s="274"/>
      <c r="CY36" s="274"/>
      <c r="CZ36" s="273"/>
      <c r="DA36" s="93"/>
      <c r="DB36" s="274"/>
      <c r="DC36" s="274"/>
      <c r="DD36" s="273"/>
      <c r="DE36" s="93"/>
    </row>
    <row r="37" spans="1:109" s="262" customFormat="1" ht="12.75">
      <c r="A37" s="253">
        <v>24</v>
      </c>
      <c r="B37" s="259" t="s">
        <v>363</v>
      </c>
      <c r="C37" s="193" t="s">
        <v>10</v>
      </c>
      <c r="D37" s="193" t="s">
        <v>15</v>
      </c>
      <c r="E37" s="193" t="s">
        <v>375</v>
      </c>
      <c r="F37" s="190">
        <v>1958</v>
      </c>
      <c r="G37" s="255">
        <f>H37-AG37</f>
        <v>6343.661981244169</v>
      </c>
      <c r="H37" s="256">
        <f t="shared" si="0"/>
        <v>6514.932699476213</v>
      </c>
      <c r="I37" s="257">
        <v>13</v>
      </c>
      <c r="J37" s="280" t="s">
        <v>409</v>
      </c>
      <c r="K37" s="274" t="s">
        <v>4</v>
      </c>
      <c r="L37" s="275">
        <v>0.045613425925925925</v>
      </c>
      <c r="M37" s="93">
        <v>445.55108019040637</v>
      </c>
      <c r="N37" s="274" t="s">
        <v>65</v>
      </c>
      <c r="O37" s="274" t="s">
        <v>4</v>
      </c>
      <c r="P37" s="275">
        <v>0.07537037037037037</v>
      </c>
      <c r="Q37" s="93">
        <v>666.7144392690791</v>
      </c>
      <c r="R37" s="274"/>
      <c r="S37" s="274"/>
      <c r="T37" s="275"/>
      <c r="U37" s="93"/>
      <c r="V37" s="274"/>
      <c r="W37" s="274"/>
      <c r="X37" s="275"/>
      <c r="Y37" s="93"/>
      <c r="Z37" s="274" t="s">
        <v>400</v>
      </c>
      <c r="AA37" s="274" t="s">
        <v>159</v>
      </c>
      <c r="AB37" s="278">
        <v>0.016967592592592593</v>
      </c>
      <c r="AC37" s="93">
        <v>810.3389830508476</v>
      </c>
      <c r="AD37" s="274" t="s">
        <v>400</v>
      </c>
      <c r="AE37" s="274" t="s">
        <v>159</v>
      </c>
      <c r="AF37" s="275">
        <v>0.0790162037037037</v>
      </c>
      <c r="AG37" s="550">
        <v>171.27071823204432</v>
      </c>
      <c r="AH37" s="274" t="s">
        <v>400</v>
      </c>
      <c r="AI37" s="274" t="s">
        <v>159</v>
      </c>
      <c r="AJ37" s="275">
        <v>0.06216435185185185</v>
      </c>
      <c r="AK37" s="93">
        <v>312.42194604425595</v>
      </c>
      <c r="AL37" s="285" t="s">
        <v>223</v>
      </c>
      <c r="AM37" s="277" t="s">
        <v>174</v>
      </c>
      <c r="AN37" s="188">
        <v>0.09052083333333333</v>
      </c>
      <c r="AO37" s="93">
        <v>615.1348314606744</v>
      </c>
      <c r="AP37" s="277" t="s">
        <v>223</v>
      </c>
      <c r="AQ37" s="277" t="s">
        <v>159</v>
      </c>
      <c r="AR37" s="188">
        <v>0.030000000000000002</v>
      </c>
      <c r="AS37" s="93">
        <v>693</v>
      </c>
      <c r="AT37" s="286" t="s">
        <v>689</v>
      </c>
      <c r="AU37" s="286" t="s">
        <v>159</v>
      </c>
      <c r="AV37" s="287">
        <v>0.021574074074074075</v>
      </c>
      <c r="AW37" s="93">
        <v>597.9185232336091</v>
      </c>
      <c r="AX37" s="286" t="s">
        <v>689</v>
      </c>
      <c r="AY37" s="286" t="s">
        <v>159</v>
      </c>
      <c r="AZ37" s="287">
        <v>0.04362268518518519</v>
      </c>
      <c r="BA37" s="93">
        <v>375.9182464454976</v>
      </c>
      <c r="BB37" s="286" t="s">
        <v>689</v>
      </c>
      <c r="BC37" s="286" t="s">
        <v>159</v>
      </c>
      <c r="BD37" s="287">
        <v>0.03362268518518518</v>
      </c>
      <c r="BE37" s="93">
        <v>564.4974554707379</v>
      </c>
      <c r="BF37" s="274"/>
      <c r="BG37" s="274"/>
      <c r="BH37" s="273"/>
      <c r="BI37" s="93"/>
      <c r="BJ37" s="274"/>
      <c r="BK37" s="274"/>
      <c r="BL37" s="273"/>
      <c r="BM37" s="93"/>
      <c r="BN37" s="274"/>
      <c r="BO37" s="274"/>
      <c r="BP37" s="273"/>
      <c r="BQ37" s="93"/>
      <c r="BR37" s="274"/>
      <c r="BS37" s="274"/>
      <c r="BT37" s="273"/>
      <c r="BU37" s="93"/>
      <c r="BV37" s="274"/>
      <c r="BW37" s="274"/>
      <c r="BX37" s="273"/>
      <c r="BY37" s="93"/>
      <c r="BZ37" s="274"/>
      <c r="CA37" s="274"/>
      <c r="CB37" s="273"/>
      <c r="CC37" s="93"/>
      <c r="CD37" s="277" t="s">
        <v>223</v>
      </c>
      <c r="CE37" s="277" t="s">
        <v>4</v>
      </c>
      <c r="CF37" s="279">
        <v>0.04791666666666666</v>
      </c>
      <c r="CG37" s="93">
        <v>538.2696177062377</v>
      </c>
      <c r="CH37" s="274"/>
      <c r="CI37" s="274"/>
      <c r="CJ37" s="275"/>
      <c r="CK37" s="93"/>
      <c r="CL37" s="274"/>
      <c r="CM37" s="274"/>
      <c r="CN37" s="275"/>
      <c r="CO37" s="93"/>
      <c r="CP37" s="274"/>
      <c r="CQ37" s="274"/>
      <c r="CR37" s="275"/>
      <c r="CS37" s="93"/>
      <c r="CT37" s="274"/>
      <c r="CU37" s="274"/>
      <c r="CV37" s="275"/>
      <c r="CW37" s="93"/>
      <c r="CX37" s="274" t="s">
        <v>400</v>
      </c>
      <c r="CY37" s="274" t="s">
        <v>4</v>
      </c>
      <c r="CZ37" s="275">
        <v>0.05608796296296296</v>
      </c>
      <c r="DA37" s="93">
        <v>298.62369922792897</v>
      </c>
      <c r="DB37" s="274" t="s">
        <v>400</v>
      </c>
      <c r="DC37" s="274" t="s">
        <v>4</v>
      </c>
      <c r="DD37" s="275">
        <v>0.07155092592592592</v>
      </c>
      <c r="DE37" s="93">
        <v>425.2731591448933</v>
      </c>
    </row>
    <row r="38" spans="1:109" s="262" customFormat="1" ht="12.75">
      <c r="A38" s="253">
        <v>25</v>
      </c>
      <c r="B38" s="264" t="s">
        <v>370</v>
      </c>
      <c r="C38" s="193" t="s">
        <v>187</v>
      </c>
      <c r="D38" s="193" t="s">
        <v>371</v>
      </c>
      <c r="E38" s="193"/>
      <c r="F38" s="190">
        <v>1993</v>
      </c>
      <c r="G38" s="255">
        <f>H38</f>
        <v>6143.665972747502</v>
      </c>
      <c r="H38" s="256">
        <f t="shared" si="0"/>
        <v>6143.665972747502</v>
      </c>
      <c r="I38" s="257">
        <v>10</v>
      </c>
      <c r="J38" s="280"/>
      <c r="K38" s="274"/>
      <c r="L38" s="281"/>
      <c r="M38" s="284"/>
      <c r="N38" s="274"/>
      <c r="O38" s="274"/>
      <c r="P38" s="281"/>
      <c r="Q38" s="284"/>
      <c r="R38" s="274"/>
      <c r="S38" s="274"/>
      <c r="T38" s="281"/>
      <c r="U38" s="284"/>
      <c r="V38" s="274"/>
      <c r="W38" s="274"/>
      <c r="X38" s="281"/>
      <c r="Y38" s="284"/>
      <c r="Z38" s="274" t="s">
        <v>493</v>
      </c>
      <c r="AA38" s="274" t="s">
        <v>3</v>
      </c>
      <c r="AB38" s="188">
        <v>0.019131944444444444</v>
      </c>
      <c r="AC38" s="36">
        <v>602.4590163934427</v>
      </c>
      <c r="AD38" s="274" t="s">
        <v>493</v>
      </c>
      <c r="AE38" s="274" t="s">
        <v>3</v>
      </c>
      <c r="AF38" s="188">
        <v>0.09266203703703703</v>
      </c>
      <c r="AG38" s="36">
        <v>340.99183929692396</v>
      </c>
      <c r="AH38" s="274" t="s">
        <v>493</v>
      </c>
      <c r="AI38" s="274" t="s">
        <v>3</v>
      </c>
      <c r="AJ38" s="188">
        <v>0.06407407407407407</v>
      </c>
      <c r="AK38" s="36">
        <v>491.58826784726057</v>
      </c>
      <c r="AL38" s="277"/>
      <c r="AM38" s="277"/>
      <c r="AN38" s="188"/>
      <c r="AO38" s="93"/>
      <c r="AP38" s="277"/>
      <c r="AQ38" s="277"/>
      <c r="AR38" s="188"/>
      <c r="AS38" s="93"/>
      <c r="AT38" s="277" t="s">
        <v>656</v>
      </c>
      <c r="AU38" s="277" t="s">
        <v>3</v>
      </c>
      <c r="AV38" s="188">
        <v>0.029618055555555554</v>
      </c>
      <c r="AW38" s="93">
        <v>587.0777027027028</v>
      </c>
      <c r="AX38" s="277" t="s">
        <v>656</v>
      </c>
      <c r="AY38" s="277" t="s">
        <v>3</v>
      </c>
      <c r="AZ38" s="277"/>
      <c r="BA38" s="93"/>
      <c r="BB38" s="277" t="s">
        <v>656</v>
      </c>
      <c r="BC38" s="277" t="s">
        <v>3</v>
      </c>
      <c r="BD38" s="188">
        <v>0.0575462962962963</v>
      </c>
      <c r="BE38" s="93">
        <v>605.4108216432866</v>
      </c>
      <c r="BF38" s="277" t="s">
        <v>759</v>
      </c>
      <c r="BG38" s="277" t="s">
        <v>3</v>
      </c>
      <c r="BH38" s="188">
        <v>0.03827546296296296</v>
      </c>
      <c r="BI38" s="93">
        <v>667.0697299476018</v>
      </c>
      <c r="BJ38" s="277" t="s">
        <v>759</v>
      </c>
      <c r="BK38" s="277" t="s">
        <v>3</v>
      </c>
      <c r="BL38" s="188">
        <v>0.013796296296296298</v>
      </c>
      <c r="BM38" s="93">
        <v>784.9133537206932</v>
      </c>
      <c r="BN38" s="277" t="s">
        <v>759</v>
      </c>
      <c r="BO38" s="277" t="s">
        <v>3</v>
      </c>
      <c r="BP38" s="188">
        <v>0.06418981481481481</v>
      </c>
      <c r="BQ38" s="93">
        <v>715.0139017608897</v>
      </c>
      <c r="BR38" s="277" t="s">
        <v>759</v>
      </c>
      <c r="BS38" s="277" t="s">
        <v>3</v>
      </c>
      <c r="BT38" s="188">
        <v>0.04618055555555556</v>
      </c>
      <c r="BU38" s="93">
        <v>572.9613733905578</v>
      </c>
      <c r="BV38" s="277" t="s">
        <v>756</v>
      </c>
      <c r="BW38" s="277" t="s">
        <v>3</v>
      </c>
      <c r="BX38" s="188">
        <v>0.04297453703703704</v>
      </c>
      <c r="BY38" s="93">
        <v>776.1799660441427</v>
      </c>
      <c r="BZ38" s="274"/>
      <c r="CA38" s="274"/>
      <c r="CB38" s="275"/>
      <c r="CC38" s="93"/>
      <c r="CD38" s="274"/>
      <c r="CE38" s="274"/>
      <c r="CF38" s="281"/>
      <c r="CG38" s="93"/>
      <c r="CH38" s="274"/>
      <c r="CI38" s="274"/>
      <c r="CJ38" s="273"/>
      <c r="CK38" s="93"/>
      <c r="CL38" s="274"/>
      <c r="CM38" s="274"/>
      <c r="CN38" s="273"/>
      <c r="CO38" s="93"/>
      <c r="CP38" s="274"/>
      <c r="CQ38" s="274"/>
      <c r="CR38" s="273"/>
      <c r="CS38" s="93"/>
      <c r="CT38" s="274"/>
      <c r="CU38" s="274"/>
      <c r="CV38" s="273"/>
      <c r="CW38" s="93"/>
      <c r="CX38" s="274"/>
      <c r="CY38" s="274"/>
      <c r="CZ38" s="275"/>
      <c r="DA38" s="93"/>
      <c r="DB38" s="274"/>
      <c r="DC38" s="274"/>
      <c r="DD38" s="275"/>
      <c r="DE38" s="93"/>
    </row>
    <row r="39" spans="1:112" ht="12.75">
      <c r="A39" s="253">
        <v>26</v>
      </c>
      <c r="B39" s="259" t="s">
        <v>16</v>
      </c>
      <c r="C39" s="193" t="s">
        <v>10</v>
      </c>
      <c r="D39" s="193" t="s">
        <v>17</v>
      </c>
      <c r="F39" s="190">
        <v>1984</v>
      </c>
      <c r="G39" s="255">
        <f>H39</f>
        <v>4593.295336864923</v>
      </c>
      <c r="H39" s="256">
        <f t="shared" si="0"/>
        <v>4593.295336864923</v>
      </c>
      <c r="I39" s="257">
        <v>10</v>
      </c>
      <c r="J39" s="280"/>
      <c r="K39" s="274"/>
      <c r="L39" s="275"/>
      <c r="M39" s="93"/>
      <c r="N39" s="274"/>
      <c r="O39" s="274"/>
      <c r="P39" s="275"/>
      <c r="Q39" s="93"/>
      <c r="R39" s="274"/>
      <c r="S39" s="274"/>
      <c r="T39" s="275"/>
      <c r="U39" s="93"/>
      <c r="V39" s="274"/>
      <c r="W39" s="274"/>
      <c r="X39" s="275"/>
      <c r="Y39" s="93"/>
      <c r="Z39" s="274" t="s">
        <v>493</v>
      </c>
      <c r="AA39" s="274" t="s">
        <v>3</v>
      </c>
      <c r="AB39" s="188">
        <v>0.020590277777777777</v>
      </c>
      <c r="AC39" s="36">
        <v>488.30888697152716</v>
      </c>
      <c r="AD39" s="274" t="s">
        <v>493</v>
      </c>
      <c r="AE39" s="274" t="s">
        <v>3</v>
      </c>
      <c r="AF39" s="188">
        <v>0.10077546296296297</v>
      </c>
      <c r="AG39" s="36">
        <v>186.97426239799077</v>
      </c>
      <c r="AH39" s="274"/>
      <c r="AI39" s="274"/>
      <c r="AJ39" s="277"/>
      <c r="AK39" s="36"/>
      <c r="AL39" s="277" t="s">
        <v>377</v>
      </c>
      <c r="AM39" s="277" t="s">
        <v>3</v>
      </c>
      <c r="AN39" s="188">
        <v>0.12797453703703704</v>
      </c>
      <c r="AO39" s="93">
        <v>431.3945034171878</v>
      </c>
      <c r="AP39" s="277" t="s">
        <v>377</v>
      </c>
      <c r="AQ39" s="277" t="s">
        <v>3</v>
      </c>
      <c r="AR39" s="188">
        <v>0.02829861111111111</v>
      </c>
      <c r="AS39" s="93">
        <v>764.8345784418357</v>
      </c>
      <c r="AT39" s="274"/>
      <c r="AU39" s="274"/>
      <c r="AV39" s="273"/>
      <c r="AW39" s="93"/>
      <c r="AX39" s="274"/>
      <c r="AY39" s="274"/>
      <c r="AZ39" s="275"/>
      <c r="BA39" s="93"/>
      <c r="BB39" s="274"/>
      <c r="BC39" s="274"/>
      <c r="BD39" s="275"/>
      <c r="BE39" s="93"/>
      <c r="BF39" s="277" t="s">
        <v>754</v>
      </c>
      <c r="BG39" s="277" t="s">
        <v>4</v>
      </c>
      <c r="BH39" s="188">
        <v>0.031145833333333334</v>
      </c>
      <c r="BI39" s="93">
        <v>652.4647887323943</v>
      </c>
      <c r="BJ39" s="277" t="s">
        <v>754</v>
      </c>
      <c r="BK39" s="277" t="s">
        <v>4</v>
      </c>
      <c r="BL39" s="188">
        <v>0.011331018518518518</v>
      </c>
      <c r="BM39" s="93">
        <v>756.9429494079654</v>
      </c>
      <c r="BN39" s="277" t="s">
        <v>754</v>
      </c>
      <c r="BO39" s="277" t="s">
        <v>4</v>
      </c>
      <c r="BP39" s="277" t="s">
        <v>358</v>
      </c>
      <c r="BQ39" s="93">
        <v>0</v>
      </c>
      <c r="BR39" s="277" t="s">
        <v>754</v>
      </c>
      <c r="BS39" s="277" t="s">
        <v>4</v>
      </c>
      <c r="BT39" s="188">
        <v>0.033483796296296296</v>
      </c>
      <c r="BU39" s="93">
        <v>603.2730404823427</v>
      </c>
      <c r="BV39" s="277" t="s">
        <v>756</v>
      </c>
      <c r="BW39" s="277" t="s">
        <v>3</v>
      </c>
      <c r="BX39" s="188">
        <v>0.050381944444444444</v>
      </c>
      <c r="BY39" s="93">
        <v>547.9966044142615</v>
      </c>
      <c r="BZ39" s="274"/>
      <c r="CA39" s="274"/>
      <c r="CB39" s="273"/>
      <c r="CC39" s="93"/>
      <c r="CD39" s="277" t="s">
        <v>237</v>
      </c>
      <c r="CE39" s="277" t="s">
        <v>3</v>
      </c>
      <c r="CF39" s="188">
        <v>0.06635416666666666</v>
      </c>
      <c r="CG39" s="93">
        <v>161.1057225994181</v>
      </c>
      <c r="CH39" s="274"/>
      <c r="CI39" s="274"/>
      <c r="CJ39" s="275"/>
      <c r="CK39" s="93"/>
      <c r="CL39" s="274"/>
      <c r="CM39" s="274"/>
      <c r="CN39" s="275"/>
      <c r="CO39" s="93"/>
      <c r="CP39" s="274"/>
      <c r="CQ39" s="274"/>
      <c r="CR39" s="275"/>
      <c r="CS39" s="93"/>
      <c r="CT39" s="274"/>
      <c r="CU39" s="274"/>
      <c r="CV39" s="275"/>
      <c r="CW39" s="93"/>
      <c r="CX39" s="274"/>
      <c r="CY39" s="274"/>
      <c r="CZ39" s="273"/>
      <c r="DA39" s="93"/>
      <c r="DB39" s="274"/>
      <c r="DC39" s="274"/>
      <c r="DD39" s="273"/>
      <c r="DE39" s="93"/>
      <c r="DF39" s="262"/>
      <c r="DG39" s="262"/>
      <c r="DH39" s="262"/>
    </row>
    <row r="40" spans="1:112" ht="12.75">
      <c r="A40" s="253">
        <v>27</v>
      </c>
      <c r="B40" s="259" t="s">
        <v>318</v>
      </c>
      <c r="C40" s="193" t="s">
        <v>10</v>
      </c>
      <c r="D40" s="193" t="s">
        <v>11</v>
      </c>
      <c r="E40" s="193" t="s">
        <v>360</v>
      </c>
      <c r="F40" s="190">
        <v>1969</v>
      </c>
      <c r="G40" s="255">
        <f>H40</f>
        <v>4541.613797817898</v>
      </c>
      <c r="H40" s="256">
        <f t="shared" si="0"/>
        <v>4541.613797817898</v>
      </c>
      <c r="I40" s="257">
        <v>9</v>
      </c>
      <c r="J40" s="280" t="s">
        <v>408</v>
      </c>
      <c r="K40" s="274" t="s">
        <v>4</v>
      </c>
      <c r="L40" s="275">
        <v>0.03851851851851852</v>
      </c>
      <c r="M40" s="93">
        <v>625.1190040278285</v>
      </c>
      <c r="N40" s="274" t="s">
        <v>65</v>
      </c>
      <c r="O40" s="274" t="s">
        <v>4</v>
      </c>
      <c r="P40" s="275">
        <v>0.07251157407407406</v>
      </c>
      <c r="Q40" s="93">
        <v>702.1139376567539</v>
      </c>
      <c r="R40" s="274"/>
      <c r="S40" s="274"/>
      <c r="T40" s="275"/>
      <c r="U40" s="93"/>
      <c r="V40" s="274"/>
      <c r="W40" s="274"/>
      <c r="X40" s="275"/>
      <c r="Y40" s="93"/>
      <c r="Z40" s="274" t="s">
        <v>401</v>
      </c>
      <c r="AA40" s="274" t="s">
        <v>159</v>
      </c>
      <c r="AB40" s="278">
        <v>0.01726851851851852</v>
      </c>
      <c r="AC40" s="93">
        <v>794.9152542372882</v>
      </c>
      <c r="AD40" s="274" t="s">
        <v>401</v>
      </c>
      <c r="AE40" s="274" t="s">
        <v>159</v>
      </c>
      <c r="AF40" s="275">
        <v>0.06756944444444445</v>
      </c>
      <c r="AG40" s="93">
        <v>389.8342541436464</v>
      </c>
      <c r="AH40" s="274"/>
      <c r="AI40" s="274"/>
      <c r="AJ40" s="275"/>
      <c r="AK40" s="93"/>
      <c r="AL40" s="277"/>
      <c r="AM40" s="277"/>
      <c r="AN40" s="277"/>
      <c r="AO40" s="93"/>
      <c r="AP40" s="277" t="s">
        <v>633</v>
      </c>
      <c r="AQ40" s="277" t="s">
        <v>4</v>
      </c>
      <c r="AR40" s="188">
        <v>0.03479166666666667</v>
      </c>
      <c r="AS40" s="93">
        <v>472.13242453748774</v>
      </c>
      <c r="AT40" s="274"/>
      <c r="AU40" s="274"/>
      <c r="AV40" s="275"/>
      <c r="AW40" s="93"/>
      <c r="AX40" s="274"/>
      <c r="AY40" s="274"/>
      <c r="AZ40" s="275"/>
      <c r="BA40" s="93"/>
      <c r="BB40" s="274"/>
      <c r="BC40" s="274"/>
      <c r="BD40" s="273"/>
      <c r="BE40" s="93"/>
      <c r="BF40" s="277"/>
      <c r="BG40" s="277"/>
      <c r="BH40" s="277"/>
      <c r="BI40" s="93"/>
      <c r="BJ40" s="277" t="s">
        <v>753</v>
      </c>
      <c r="BK40" s="277" t="s">
        <v>4</v>
      </c>
      <c r="BL40" s="188">
        <v>0.016493055555555556</v>
      </c>
      <c r="BM40" s="93">
        <v>372.8740581270181</v>
      </c>
      <c r="BN40" s="277" t="s">
        <v>753</v>
      </c>
      <c r="BO40" s="277" t="s">
        <v>4</v>
      </c>
      <c r="BP40" s="188">
        <v>0.06820601851851853</v>
      </c>
      <c r="BQ40" s="93">
        <v>272.3739791607997</v>
      </c>
      <c r="BR40" s="277"/>
      <c r="BS40" s="277"/>
      <c r="BT40" s="277"/>
      <c r="BU40" s="93"/>
      <c r="BV40" s="274"/>
      <c r="BW40" s="274"/>
      <c r="BX40" s="273"/>
      <c r="BY40" s="93"/>
      <c r="BZ40" s="274"/>
      <c r="CA40" s="274"/>
      <c r="CB40" s="273"/>
      <c r="CC40" s="93"/>
      <c r="CD40" s="274"/>
      <c r="CE40" s="274"/>
      <c r="CF40" s="273"/>
      <c r="CG40" s="93"/>
      <c r="CH40" s="274" t="s">
        <v>688</v>
      </c>
      <c r="CI40" s="274" t="s">
        <v>4</v>
      </c>
      <c r="CJ40" s="275">
        <v>0.014884259259259259</v>
      </c>
      <c r="CK40" s="93">
        <v>464.45916114790293</v>
      </c>
      <c r="CL40" s="274" t="s">
        <v>688</v>
      </c>
      <c r="CM40" s="274" t="s">
        <v>4</v>
      </c>
      <c r="CN40" s="275">
        <v>0.07171296296296296</v>
      </c>
      <c r="CO40" s="93">
        <v>447.7917247791726</v>
      </c>
      <c r="CP40" s="274"/>
      <c r="CQ40" s="274"/>
      <c r="CR40" s="273"/>
      <c r="CS40" s="93"/>
      <c r="CT40" s="274"/>
      <c r="CU40" s="274"/>
      <c r="CV40" s="273"/>
      <c r="CW40" s="93"/>
      <c r="CX40" s="274"/>
      <c r="CY40" s="274"/>
      <c r="CZ40" s="275"/>
      <c r="DA40" s="93"/>
      <c r="DB40" s="274"/>
      <c r="DC40" s="274"/>
      <c r="DD40" s="275"/>
      <c r="DE40" s="93"/>
      <c r="DF40" s="262"/>
      <c r="DG40" s="262"/>
      <c r="DH40" s="262"/>
    </row>
    <row r="41" spans="1:112" ht="12.75">
      <c r="A41" s="253">
        <v>28</v>
      </c>
      <c r="B41" s="259" t="s">
        <v>190</v>
      </c>
      <c r="C41" s="193" t="s">
        <v>10</v>
      </c>
      <c r="D41" s="193" t="s">
        <v>101</v>
      </c>
      <c r="E41" s="193" t="s">
        <v>375</v>
      </c>
      <c r="F41" s="548">
        <v>1965</v>
      </c>
      <c r="G41" s="255">
        <f>H41</f>
        <v>3973.5321164171482</v>
      </c>
      <c r="H41" s="256">
        <f t="shared" si="0"/>
        <v>3973.5321164171482</v>
      </c>
      <c r="I41" s="257">
        <v>8</v>
      </c>
      <c r="J41" s="277"/>
      <c r="K41" s="277"/>
      <c r="L41" s="276"/>
      <c r="M41" s="36"/>
      <c r="N41" s="277"/>
      <c r="O41" s="277"/>
      <c r="P41" s="276"/>
      <c r="Q41" s="35"/>
      <c r="R41" s="277"/>
      <c r="S41" s="277"/>
      <c r="T41" s="276"/>
      <c r="U41" s="36"/>
      <c r="V41" s="277"/>
      <c r="W41" s="277"/>
      <c r="X41" s="276"/>
      <c r="Y41" s="35"/>
      <c r="Z41" s="274" t="s">
        <v>400</v>
      </c>
      <c r="AA41" s="274" t="s">
        <v>159</v>
      </c>
      <c r="AB41" s="278" t="s">
        <v>358</v>
      </c>
      <c r="AC41" s="93">
        <v>0</v>
      </c>
      <c r="AD41" s="274" t="s">
        <v>400</v>
      </c>
      <c r="AE41" s="274" t="s">
        <v>159</v>
      </c>
      <c r="AF41" s="275">
        <v>0.05541666666666667</v>
      </c>
      <c r="AG41" s="93">
        <v>621.878453038674</v>
      </c>
      <c r="AH41" s="274" t="s">
        <v>400</v>
      </c>
      <c r="AI41" s="274" t="s">
        <v>159</v>
      </c>
      <c r="AJ41" s="275">
        <v>0.045439814814814815</v>
      </c>
      <c r="AK41" s="93">
        <v>680.3516217035468</v>
      </c>
      <c r="AL41" s="277" t="s">
        <v>223</v>
      </c>
      <c r="AM41" s="277" t="s">
        <v>174</v>
      </c>
      <c r="AN41" s="188">
        <v>0.08137731481481482</v>
      </c>
      <c r="AO41" s="93">
        <v>693</v>
      </c>
      <c r="AP41" s="277"/>
      <c r="AQ41" s="277"/>
      <c r="AR41" s="188"/>
      <c r="AS41" s="93"/>
      <c r="AT41" s="274"/>
      <c r="AU41" s="274"/>
      <c r="AV41" s="273"/>
      <c r="AW41" s="93"/>
      <c r="AX41" s="274"/>
      <c r="AY41" s="274"/>
      <c r="AZ41" s="275"/>
      <c r="BA41" s="93"/>
      <c r="BB41" s="274"/>
      <c r="BC41" s="274"/>
      <c r="BD41" s="275"/>
      <c r="BE41" s="93"/>
      <c r="BF41" s="277" t="s">
        <v>753</v>
      </c>
      <c r="BG41" s="277" t="s">
        <v>4</v>
      </c>
      <c r="BH41" s="188">
        <v>0.03297453703703704</v>
      </c>
      <c r="BI41" s="93">
        <v>596.8309859154929</v>
      </c>
      <c r="BJ41" s="277" t="s">
        <v>753</v>
      </c>
      <c r="BK41" s="277" t="s">
        <v>4</v>
      </c>
      <c r="BL41" s="188">
        <v>0.016122685185185184</v>
      </c>
      <c r="BM41" s="93">
        <v>400.4305705059203</v>
      </c>
      <c r="BN41" s="277" t="s">
        <v>753</v>
      </c>
      <c r="BO41" s="277" t="s">
        <v>4</v>
      </c>
      <c r="BP41" s="188">
        <v>0.05572916666666666</v>
      </c>
      <c r="BQ41" s="93">
        <v>515.2351450295691</v>
      </c>
      <c r="BR41" s="277" t="s">
        <v>753</v>
      </c>
      <c r="BS41" s="277" t="s">
        <v>4</v>
      </c>
      <c r="BT41" s="188">
        <v>0.03810185185185185</v>
      </c>
      <c r="BU41" s="93">
        <v>465.80534022394477</v>
      </c>
      <c r="BV41" s="274"/>
      <c r="BW41" s="274"/>
      <c r="BX41" s="273"/>
      <c r="BY41" s="93"/>
      <c r="BZ41" s="274"/>
      <c r="CA41" s="274"/>
      <c r="CB41" s="273"/>
      <c r="CC41" s="93"/>
      <c r="CD41" s="274"/>
      <c r="CE41" s="274"/>
      <c r="CF41" s="275"/>
      <c r="CG41" s="93"/>
      <c r="CH41" s="274"/>
      <c r="CI41" s="274"/>
      <c r="CJ41" s="273"/>
      <c r="CK41" s="93"/>
      <c r="CL41" s="274"/>
      <c r="CM41" s="274"/>
      <c r="CN41" s="273"/>
      <c r="CO41" s="93"/>
      <c r="CP41" s="274"/>
      <c r="CQ41" s="274"/>
      <c r="CR41" s="273"/>
      <c r="CS41" s="93"/>
      <c r="CT41" s="274"/>
      <c r="CU41" s="274"/>
      <c r="CV41" s="273"/>
      <c r="CW41" s="93"/>
      <c r="CX41" s="274"/>
      <c r="CY41" s="274"/>
      <c r="CZ41" s="273"/>
      <c r="DA41" s="93"/>
      <c r="DB41" s="274"/>
      <c r="DC41" s="274"/>
      <c r="DD41" s="273"/>
      <c r="DE41" s="93"/>
      <c r="DF41" s="262"/>
      <c r="DG41" s="262"/>
      <c r="DH41" s="262"/>
    </row>
    <row r="42" spans="1:109" ht="12.75">
      <c r="A42" s="253">
        <v>29</v>
      </c>
      <c r="B42" s="259" t="s">
        <v>194</v>
      </c>
      <c r="C42" s="193" t="s">
        <v>10</v>
      </c>
      <c r="D42" s="193" t="s">
        <v>11</v>
      </c>
      <c r="F42" s="190">
        <v>1978</v>
      </c>
      <c r="G42" s="255">
        <f>H42-AO42-AS42-CG42-CS42-DA42</f>
        <v>3897.5954277173882</v>
      </c>
      <c r="H42" s="256">
        <f t="shared" si="0"/>
        <v>4011.5551592610127</v>
      </c>
      <c r="I42" s="257">
        <v>17</v>
      </c>
      <c r="J42" s="277" t="s">
        <v>412</v>
      </c>
      <c r="K42" s="277" t="s">
        <v>4</v>
      </c>
      <c r="L42" s="278">
        <v>0.05230324074074074</v>
      </c>
      <c r="M42" s="93">
        <v>276.23581105822035</v>
      </c>
      <c r="N42" s="274" t="s">
        <v>418</v>
      </c>
      <c r="O42" s="274" t="s">
        <v>3</v>
      </c>
      <c r="P42" s="276" t="s">
        <v>358</v>
      </c>
      <c r="Q42" s="550">
        <v>0</v>
      </c>
      <c r="R42" s="277"/>
      <c r="S42" s="277"/>
      <c r="T42" s="276"/>
      <c r="U42" s="36"/>
      <c r="V42" s="277"/>
      <c r="W42" s="277"/>
      <c r="X42" s="276"/>
      <c r="Y42" s="290"/>
      <c r="Z42" s="274"/>
      <c r="AA42" s="274"/>
      <c r="AB42" s="275"/>
      <c r="AC42" s="93"/>
      <c r="AD42" s="274" t="s">
        <v>592</v>
      </c>
      <c r="AE42" s="274" t="s">
        <v>159</v>
      </c>
      <c r="AF42" s="275">
        <v>0.06300925925925926</v>
      </c>
      <c r="AG42" s="93">
        <v>476.9060773480663</v>
      </c>
      <c r="AH42" s="274" t="s">
        <v>592</v>
      </c>
      <c r="AI42" s="274" t="s">
        <v>159</v>
      </c>
      <c r="AJ42" s="275">
        <v>0.05309027777777778</v>
      </c>
      <c r="AK42" s="93">
        <v>512.046074568051</v>
      </c>
      <c r="AL42" s="277" t="s">
        <v>377</v>
      </c>
      <c r="AM42" s="277" t="s">
        <v>3</v>
      </c>
      <c r="AN42" s="276" t="s">
        <v>358</v>
      </c>
      <c r="AO42" s="550">
        <v>0</v>
      </c>
      <c r="AP42" s="277" t="s">
        <v>377</v>
      </c>
      <c r="AQ42" s="277" t="s">
        <v>3</v>
      </c>
      <c r="AR42" s="276" t="s">
        <v>358</v>
      </c>
      <c r="AS42" s="550">
        <v>0</v>
      </c>
      <c r="AT42" s="286" t="s">
        <v>687</v>
      </c>
      <c r="AU42" s="286" t="s">
        <v>4</v>
      </c>
      <c r="AV42" s="287">
        <v>0.035659722222222225</v>
      </c>
      <c r="AW42" s="93">
        <v>230.11764705882348</v>
      </c>
      <c r="AX42" s="286" t="s">
        <v>687</v>
      </c>
      <c r="AY42" s="286" t="s">
        <v>4</v>
      </c>
      <c r="AZ42" s="287">
        <v>0.04960648148148148</v>
      </c>
      <c r="BA42" s="93">
        <v>194.1394964919521</v>
      </c>
      <c r="BB42" s="286" t="s">
        <v>687</v>
      </c>
      <c r="BC42" s="286" t="s">
        <v>4</v>
      </c>
      <c r="BD42" s="287">
        <v>0.05728009259259259</v>
      </c>
      <c r="BE42" s="93">
        <v>270.3153611393694</v>
      </c>
      <c r="BF42" s="277" t="s">
        <v>754</v>
      </c>
      <c r="BG42" s="277" t="s">
        <v>4</v>
      </c>
      <c r="BH42" s="188">
        <v>0.03743055555555556</v>
      </c>
      <c r="BI42" s="93">
        <v>461.26760563380265</v>
      </c>
      <c r="BJ42" s="277" t="s">
        <v>754</v>
      </c>
      <c r="BK42" s="277" t="s">
        <v>4</v>
      </c>
      <c r="BL42" s="188">
        <v>0.0146875</v>
      </c>
      <c r="BM42" s="93">
        <v>507.21205597416576</v>
      </c>
      <c r="BN42" s="277" t="s">
        <v>754</v>
      </c>
      <c r="BO42" s="277" t="s">
        <v>4</v>
      </c>
      <c r="BP42" s="188">
        <v>0.06209490740740741</v>
      </c>
      <c r="BQ42" s="93">
        <v>391.32638693325816</v>
      </c>
      <c r="BR42" s="277" t="s">
        <v>754</v>
      </c>
      <c r="BS42" s="277" t="s">
        <v>4</v>
      </c>
      <c r="BT42" s="188">
        <v>0.04693287037037037</v>
      </c>
      <c r="BU42" s="93">
        <v>202.9285099052542</v>
      </c>
      <c r="BV42" s="274"/>
      <c r="BW42" s="274"/>
      <c r="BX42" s="273"/>
      <c r="BY42" s="93"/>
      <c r="BZ42" s="274"/>
      <c r="CA42" s="274"/>
      <c r="CB42" s="273"/>
      <c r="CC42" s="93"/>
      <c r="CD42" s="277" t="s">
        <v>237</v>
      </c>
      <c r="CE42" s="277" t="s">
        <v>3</v>
      </c>
      <c r="CF42" s="188">
        <v>0.08204861111111111</v>
      </c>
      <c r="CG42" s="550">
        <v>10</v>
      </c>
      <c r="CH42" s="274"/>
      <c r="CI42" s="274"/>
      <c r="CJ42" s="273"/>
      <c r="CK42" s="93"/>
      <c r="CL42" s="274"/>
      <c r="CM42" s="274"/>
      <c r="CN42" s="273"/>
      <c r="CO42" s="93"/>
      <c r="CP42" s="274" t="s">
        <v>853</v>
      </c>
      <c r="CQ42" s="274" t="s">
        <v>3</v>
      </c>
      <c r="CR42" s="273">
        <v>0.06359953703703704</v>
      </c>
      <c r="CS42" s="550">
        <v>10</v>
      </c>
      <c r="CT42" s="274" t="s">
        <v>853</v>
      </c>
      <c r="CU42" s="274" t="s">
        <v>3</v>
      </c>
      <c r="CV42" s="273">
        <v>0.023414351851851853</v>
      </c>
      <c r="CW42" s="93">
        <v>375.10040160642546</v>
      </c>
      <c r="CX42" s="274" t="s">
        <v>493</v>
      </c>
      <c r="CY42" s="274" t="s">
        <v>3</v>
      </c>
      <c r="CZ42" s="273">
        <v>0.08875</v>
      </c>
      <c r="DA42" s="550">
        <v>93.95973154362424</v>
      </c>
      <c r="DB42" s="274"/>
      <c r="DC42" s="274"/>
      <c r="DD42" s="273"/>
      <c r="DE42" s="93"/>
    </row>
    <row r="43" spans="1:109" ht="12.75">
      <c r="A43" s="253">
        <v>30</v>
      </c>
      <c r="B43" s="259" t="s">
        <v>589</v>
      </c>
      <c r="C43" s="193" t="s">
        <v>187</v>
      </c>
      <c r="D43" s="193" t="s">
        <v>590</v>
      </c>
      <c r="E43" s="193" t="s">
        <v>375</v>
      </c>
      <c r="F43" s="190"/>
      <c r="G43" s="255">
        <f aca="true" t="shared" si="1" ref="G43:G74">H43</f>
        <v>3725.2617063849207</v>
      </c>
      <c r="H43" s="256">
        <f t="shared" si="0"/>
        <v>3725.2617063849207</v>
      </c>
      <c r="I43" s="257">
        <v>6</v>
      </c>
      <c r="J43" s="277"/>
      <c r="K43" s="277"/>
      <c r="L43" s="276"/>
      <c r="M43" s="36"/>
      <c r="N43" s="277"/>
      <c r="O43" s="277"/>
      <c r="P43" s="276"/>
      <c r="Q43" s="35"/>
      <c r="R43" s="277"/>
      <c r="S43" s="277"/>
      <c r="T43" s="287"/>
      <c r="U43" s="93"/>
      <c r="V43" s="277"/>
      <c r="W43" s="277"/>
      <c r="X43" s="287"/>
      <c r="Y43" s="93"/>
      <c r="Z43" s="274" t="s">
        <v>400</v>
      </c>
      <c r="AA43" s="274" t="s">
        <v>159</v>
      </c>
      <c r="AB43" s="278">
        <v>0.017361111111111112</v>
      </c>
      <c r="AC43" s="93">
        <v>790.1694915254237</v>
      </c>
      <c r="AD43" s="274" t="s">
        <v>400</v>
      </c>
      <c r="AE43" s="274" t="s">
        <v>159</v>
      </c>
      <c r="AF43" s="275">
        <v>0.06707175925925926</v>
      </c>
      <c r="AG43" s="93">
        <v>399.3370165745856</v>
      </c>
      <c r="AH43" s="274" t="s">
        <v>400</v>
      </c>
      <c r="AI43" s="274" t="s">
        <v>159</v>
      </c>
      <c r="AJ43" s="275">
        <v>0.04760416666666667</v>
      </c>
      <c r="AK43" s="93">
        <v>632.7371930888148</v>
      </c>
      <c r="AL43" s="274"/>
      <c r="AM43" s="274"/>
      <c r="AN43" s="282"/>
      <c r="AO43" s="93"/>
      <c r="AP43" s="274"/>
      <c r="AQ43" s="274"/>
      <c r="AR43" s="273"/>
      <c r="AS43" s="93"/>
      <c r="AT43" s="277" t="s">
        <v>689</v>
      </c>
      <c r="AU43" s="277" t="s">
        <v>159</v>
      </c>
      <c r="AV43" s="287">
        <v>0.022858796296296294</v>
      </c>
      <c r="AW43" s="93">
        <v>545.9866327180142</v>
      </c>
      <c r="AX43" s="277" t="s">
        <v>689</v>
      </c>
      <c r="AY43" s="277" t="s">
        <v>159</v>
      </c>
      <c r="AZ43" s="287">
        <v>0.03293981481481481</v>
      </c>
      <c r="BA43" s="93">
        <v>643.8507109004742</v>
      </c>
      <c r="BB43" s="277" t="s">
        <v>689</v>
      </c>
      <c r="BC43" s="277" t="s">
        <v>159</v>
      </c>
      <c r="BD43" s="287">
        <v>0.028101851851851854</v>
      </c>
      <c r="BE43" s="93">
        <v>713.180661577608</v>
      </c>
      <c r="BF43" s="274"/>
      <c r="BG43" s="274"/>
      <c r="BH43" s="281"/>
      <c r="BI43" s="93"/>
      <c r="BJ43" s="274"/>
      <c r="BK43" s="274"/>
      <c r="BL43" s="281"/>
      <c r="BM43" s="93"/>
      <c r="BN43" s="274"/>
      <c r="BO43" s="274"/>
      <c r="BP43" s="281"/>
      <c r="BQ43" s="93"/>
      <c r="BR43" s="274"/>
      <c r="BS43" s="274"/>
      <c r="BT43" s="281"/>
      <c r="BU43" s="93"/>
      <c r="BV43" s="274"/>
      <c r="BW43" s="274"/>
      <c r="BX43" s="273"/>
      <c r="BY43" s="93"/>
      <c r="BZ43" s="274"/>
      <c r="CA43" s="274"/>
      <c r="CB43" s="275"/>
      <c r="CC43" s="93"/>
      <c r="CD43" s="274"/>
      <c r="CE43" s="274"/>
      <c r="CF43" s="281"/>
      <c r="CG43" s="93"/>
      <c r="CH43" s="274"/>
      <c r="CI43" s="274"/>
      <c r="CJ43" s="273"/>
      <c r="CK43" s="93"/>
      <c r="CL43" s="274"/>
      <c r="CM43" s="274"/>
      <c r="CN43" s="273"/>
      <c r="CO43" s="93"/>
      <c r="CP43" s="274"/>
      <c r="CQ43" s="274"/>
      <c r="CR43" s="273"/>
      <c r="CS43" s="93"/>
      <c r="CT43" s="274"/>
      <c r="CU43" s="274"/>
      <c r="CV43" s="273"/>
      <c r="CW43" s="93"/>
      <c r="CX43" s="274"/>
      <c r="CY43" s="274"/>
      <c r="CZ43" s="281"/>
      <c r="DA43" s="93"/>
      <c r="DB43" s="274"/>
      <c r="DC43" s="274"/>
      <c r="DD43" s="281"/>
      <c r="DE43" s="93"/>
    </row>
    <row r="44" spans="1:109" ht="12.75">
      <c r="A44" s="253">
        <v>31</v>
      </c>
      <c r="B44" s="259" t="s">
        <v>111</v>
      </c>
      <c r="C44" s="193" t="s">
        <v>10</v>
      </c>
      <c r="D44" s="193" t="s">
        <v>110</v>
      </c>
      <c r="E44" s="193" t="s">
        <v>359</v>
      </c>
      <c r="F44" s="548">
        <v>2001</v>
      </c>
      <c r="G44" s="255">
        <f t="shared" si="1"/>
        <v>3635.687007831614</v>
      </c>
      <c r="H44" s="256">
        <f t="shared" si="0"/>
        <v>3635.687007831614</v>
      </c>
      <c r="I44" s="257">
        <v>6</v>
      </c>
      <c r="J44" s="280"/>
      <c r="K44" s="274"/>
      <c r="L44" s="281"/>
      <c r="M44" s="283"/>
      <c r="N44" s="274"/>
      <c r="O44" s="274"/>
      <c r="P44" s="281"/>
      <c r="Q44" s="291"/>
      <c r="R44" s="274"/>
      <c r="S44" s="274"/>
      <c r="T44" s="275"/>
      <c r="U44" s="93"/>
      <c r="V44" s="274"/>
      <c r="W44" s="274"/>
      <c r="X44" s="275"/>
      <c r="Y44" s="93"/>
      <c r="Z44" s="277" t="s">
        <v>583</v>
      </c>
      <c r="AA44" s="277" t="s">
        <v>159</v>
      </c>
      <c r="AB44" s="278">
        <v>0.01980324074074074</v>
      </c>
      <c r="AC44" s="93">
        <v>665.0000000000003</v>
      </c>
      <c r="AD44" s="277" t="s">
        <v>583</v>
      </c>
      <c r="AE44" s="277" t="s">
        <v>159</v>
      </c>
      <c r="AF44" s="278">
        <v>0.05679398148148148</v>
      </c>
      <c r="AG44" s="93">
        <v>595.5801104972377</v>
      </c>
      <c r="AH44" s="277" t="s">
        <v>583</v>
      </c>
      <c r="AI44" s="277" t="s">
        <v>159</v>
      </c>
      <c r="AJ44" s="275">
        <v>0.050243055555555555</v>
      </c>
      <c r="AK44" s="93">
        <v>574.68323734465</v>
      </c>
      <c r="AL44" s="277"/>
      <c r="AM44" s="277"/>
      <c r="AN44" s="188"/>
      <c r="AO44" s="93"/>
      <c r="AP44" s="277"/>
      <c r="AQ44" s="277"/>
      <c r="AR44" s="188"/>
      <c r="AS44" s="93"/>
      <c r="AT44" s="286" t="s">
        <v>686</v>
      </c>
      <c r="AU44" s="286" t="s">
        <v>4</v>
      </c>
      <c r="AV44" s="287">
        <v>0.024351851851851857</v>
      </c>
      <c r="AW44" s="93">
        <v>689.8823529411764</v>
      </c>
      <c r="AX44" s="286" t="s">
        <v>686</v>
      </c>
      <c r="AY44" s="286" t="s">
        <v>4</v>
      </c>
      <c r="AZ44" s="287">
        <v>0.03834490740740741</v>
      </c>
      <c r="BA44" s="93">
        <v>531.4568716467187</v>
      </c>
      <c r="BB44" s="286" t="s">
        <v>686</v>
      </c>
      <c r="BC44" s="286" t="s">
        <v>4</v>
      </c>
      <c r="BD44" s="287">
        <v>0.04473379629629629</v>
      </c>
      <c r="BE44" s="93">
        <v>579.0844354018312</v>
      </c>
      <c r="BF44" s="274"/>
      <c r="BG44" s="274"/>
      <c r="BH44" s="281"/>
      <c r="BI44" s="93"/>
      <c r="BJ44" s="274"/>
      <c r="BK44" s="274"/>
      <c r="BL44" s="273"/>
      <c r="BM44" s="93"/>
      <c r="BN44" s="274"/>
      <c r="BO44" s="274"/>
      <c r="BP44" s="273"/>
      <c r="BQ44" s="93"/>
      <c r="BR44" s="274"/>
      <c r="BS44" s="274"/>
      <c r="BT44" s="273"/>
      <c r="BU44" s="93"/>
      <c r="BV44" s="274"/>
      <c r="BW44" s="274"/>
      <c r="BX44" s="273"/>
      <c r="BY44" s="93"/>
      <c r="BZ44" s="274"/>
      <c r="CA44" s="274"/>
      <c r="CB44" s="273"/>
      <c r="CC44" s="93"/>
      <c r="CD44" s="274"/>
      <c r="CE44" s="274"/>
      <c r="CF44" s="275"/>
      <c r="CG44" s="93"/>
      <c r="CH44" s="274"/>
      <c r="CI44" s="274"/>
      <c r="CJ44" s="273"/>
      <c r="CK44" s="93"/>
      <c r="CL44" s="274"/>
      <c r="CM44" s="274"/>
      <c r="CN44" s="273"/>
      <c r="CO44" s="93"/>
      <c r="CP44" s="274"/>
      <c r="CQ44" s="274"/>
      <c r="CR44" s="281"/>
      <c r="CS44" s="93"/>
      <c r="CT44" s="274"/>
      <c r="CU44" s="274"/>
      <c r="CV44" s="281"/>
      <c r="CW44" s="93"/>
      <c r="CX44" s="274"/>
      <c r="CY44" s="274"/>
      <c r="CZ44" s="273"/>
      <c r="DA44" s="93"/>
      <c r="DB44" s="274"/>
      <c r="DC44" s="274"/>
      <c r="DD44" s="273"/>
      <c r="DE44" s="93"/>
    </row>
    <row r="45" spans="1:109" ht="12.75">
      <c r="A45" s="253">
        <v>32</v>
      </c>
      <c r="B45" s="265" t="s">
        <v>350</v>
      </c>
      <c r="C45" s="193" t="s">
        <v>10</v>
      </c>
      <c r="D45" s="193" t="s">
        <v>777</v>
      </c>
      <c r="F45" s="548">
        <v>1994</v>
      </c>
      <c r="G45" s="255">
        <f t="shared" si="1"/>
        <v>3498.6545412875453</v>
      </c>
      <c r="H45" s="256">
        <f t="shared" si="0"/>
        <v>3498.6545412875453</v>
      </c>
      <c r="I45" s="257">
        <v>5</v>
      </c>
      <c r="J45" s="289"/>
      <c r="K45" s="277"/>
      <c r="L45" s="276"/>
      <c r="M45" s="35"/>
      <c r="N45" s="277"/>
      <c r="O45" s="277"/>
      <c r="P45" s="276"/>
      <c r="Q45" s="35"/>
      <c r="R45" s="277"/>
      <c r="S45" s="277"/>
      <c r="T45" s="278"/>
      <c r="U45" s="36"/>
      <c r="V45" s="277"/>
      <c r="W45" s="277"/>
      <c r="X45" s="276"/>
      <c r="Y45" s="290"/>
      <c r="Z45" s="274"/>
      <c r="AA45" s="274"/>
      <c r="AB45" s="275"/>
      <c r="AC45" s="93"/>
      <c r="AD45" s="274"/>
      <c r="AE45" s="274"/>
      <c r="AF45" s="275"/>
      <c r="AG45" s="93"/>
      <c r="AH45" s="274"/>
      <c r="AI45" s="274"/>
      <c r="AJ45" s="275"/>
      <c r="AK45" s="35"/>
      <c r="AL45" s="277"/>
      <c r="AM45" s="277"/>
      <c r="AN45" s="188"/>
      <c r="AO45" s="36"/>
      <c r="AP45" s="277"/>
      <c r="AQ45" s="277"/>
      <c r="AR45" s="188"/>
      <c r="AS45" s="36"/>
      <c r="AT45" s="277"/>
      <c r="AU45" s="277"/>
      <c r="AV45" s="188"/>
      <c r="AW45" s="36"/>
      <c r="AX45" s="277"/>
      <c r="AY45" s="277"/>
      <c r="AZ45" s="188"/>
      <c r="BA45" s="36"/>
      <c r="BB45" s="277"/>
      <c r="BC45" s="277"/>
      <c r="BD45" s="188"/>
      <c r="BE45" s="36"/>
      <c r="BF45" s="277" t="s">
        <v>754</v>
      </c>
      <c r="BG45" s="277" t="s">
        <v>4</v>
      </c>
      <c r="BH45" s="188">
        <v>0.027557870370370368</v>
      </c>
      <c r="BI45" s="93">
        <v>761.6197183098592</v>
      </c>
      <c r="BJ45" s="277" t="s">
        <v>754</v>
      </c>
      <c r="BK45" s="277" t="s">
        <v>4</v>
      </c>
      <c r="BL45" s="188">
        <v>0.011793981481481482</v>
      </c>
      <c r="BM45" s="93">
        <v>722.497308934338</v>
      </c>
      <c r="BN45" s="277" t="s">
        <v>754</v>
      </c>
      <c r="BO45" s="277" t="s">
        <v>4</v>
      </c>
      <c r="BP45" s="188">
        <v>0.04296296296296296</v>
      </c>
      <c r="BQ45" s="93">
        <v>763.7285271754436</v>
      </c>
      <c r="BR45" s="277" t="s">
        <v>754</v>
      </c>
      <c r="BS45" s="277" t="s">
        <v>4</v>
      </c>
      <c r="BT45" s="188">
        <v>0.02820601851851852</v>
      </c>
      <c r="BU45" s="93">
        <v>760.3789836347975</v>
      </c>
      <c r="BV45" s="277"/>
      <c r="BW45" s="277"/>
      <c r="BX45" s="188"/>
      <c r="BY45" s="36"/>
      <c r="BZ45" s="277"/>
      <c r="CA45" s="277"/>
      <c r="CB45" s="188"/>
      <c r="CC45" s="36"/>
      <c r="CD45" s="277" t="s">
        <v>237</v>
      </c>
      <c r="CE45" s="277" t="s">
        <v>3</v>
      </c>
      <c r="CF45" s="188">
        <v>0.055636574074074074</v>
      </c>
      <c r="CG45" s="93">
        <v>490.43000323310696</v>
      </c>
      <c r="CH45" s="274"/>
      <c r="CI45" s="274"/>
      <c r="CJ45" s="281"/>
      <c r="CK45" s="266"/>
      <c r="CL45" s="274"/>
      <c r="CM45" s="274"/>
      <c r="CN45" s="281"/>
      <c r="CO45" s="266"/>
      <c r="CP45" s="274"/>
      <c r="CQ45" s="274"/>
      <c r="CR45" s="281"/>
      <c r="CS45" s="266"/>
      <c r="CT45" s="274"/>
      <c r="CU45" s="274"/>
      <c r="CV45" s="281"/>
      <c r="CW45" s="266"/>
      <c r="CX45" s="274"/>
      <c r="CY45" s="274"/>
      <c r="CZ45" s="281"/>
      <c r="DA45" s="266"/>
      <c r="DB45" s="274"/>
      <c r="DC45" s="274"/>
      <c r="DD45" s="281"/>
      <c r="DE45" s="266"/>
    </row>
    <row r="46" spans="1:109" ht="12.75">
      <c r="A46" s="253">
        <v>33</v>
      </c>
      <c r="B46" s="265" t="s">
        <v>760</v>
      </c>
      <c r="C46" s="193" t="s">
        <v>187</v>
      </c>
      <c r="D46" s="193" t="s">
        <v>788</v>
      </c>
      <c r="E46" s="193" t="s">
        <v>359</v>
      </c>
      <c r="F46" s="190">
        <v>1997</v>
      </c>
      <c r="G46" s="255">
        <f t="shared" si="1"/>
        <v>3143.0541994800687</v>
      </c>
      <c r="H46" s="256">
        <f aca="true" t="shared" si="2" ref="H46:H77">M46+Q46+U46+Y46+AC46+AG46+AK46+AO46+AS46+AW46+BA46+BE46+BI46+BM46+BQ46+BU46+BY46+CC46+CG46+CK46+CO46+CS46+CW46+DA46+DE46</f>
        <v>3143.0541994800687</v>
      </c>
      <c r="I46" s="257">
        <v>4</v>
      </c>
      <c r="J46" s="289"/>
      <c r="K46" s="277"/>
      <c r="L46" s="276"/>
      <c r="M46" s="35"/>
      <c r="N46" s="277"/>
      <c r="O46" s="277"/>
      <c r="P46" s="276"/>
      <c r="Q46" s="35"/>
      <c r="R46" s="277"/>
      <c r="S46" s="277"/>
      <c r="T46" s="278"/>
      <c r="U46" s="36"/>
      <c r="V46" s="277"/>
      <c r="W46" s="277"/>
      <c r="X46" s="276"/>
      <c r="Y46" s="290"/>
      <c r="Z46" s="274"/>
      <c r="AA46" s="274"/>
      <c r="AB46" s="275"/>
      <c r="AC46" s="93"/>
      <c r="AD46" s="274"/>
      <c r="AE46" s="274"/>
      <c r="AF46" s="275"/>
      <c r="AG46" s="93"/>
      <c r="AH46" s="274"/>
      <c r="AI46" s="274"/>
      <c r="AJ46" s="275"/>
      <c r="AK46" s="35"/>
      <c r="AL46" s="277"/>
      <c r="AM46" s="277"/>
      <c r="AN46" s="188"/>
      <c r="AO46" s="36"/>
      <c r="AP46" s="277"/>
      <c r="AQ46" s="277"/>
      <c r="AR46" s="188"/>
      <c r="AS46" s="36"/>
      <c r="AT46" s="277"/>
      <c r="AU46" s="277"/>
      <c r="AV46" s="188"/>
      <c r="AW46" s="36"/>
      <c r="AX46" s="277"/>
      <c r="AY46" s="277"/>
      <c r="AZ46" s="188"/>
      <c r="BA46" s="36"/>
      <c r="BB46" s="277"/>
      <c r="BC46" s="277"/>
      <c r="BD46" s="188"/>
      <c r="BE46" s="36"/>
      <c r="BF46" s="277" t="s">
        <v>759</v>
      </c>
      <c r="BG46" s="277" t="s">
        <v>3</v>
      </c>
      <c r="BH46" s="188">
        <v>0.03837962962962963</v>
      </c>
      <c r="BI46" s="93">
        <v>663.4421604191858</v>
      </c>
      <c r="BJ46" s="277" t="s">
        <v>759</v>
      </c>
      <c r="BK46" s="277" t="s">
        <v>3</v>
      </c>
      <c r="BL46" s="188">
        <v>0.01275462962962963</v>
      </c>
      <c r="BM46" s="93">
        <v>876.6564729867483</v>
      </c>
      <c r="BN46" s="277" t="s">
        <v>759</v>
      </c>
      <c r="BO46" s="277" t="s">
        <v>3</v>
      </c>
      <c r="BP46" s="188">
        <v>0.05826388888888889</v>
      </c>
      <c r="BQ46" s="93">
        <v>833.6422613531047</v>
      </c>
      <c r="BR46" s="277" t="s">
        <v>759</v>
      </c>
      <c r="BS46" s="277" t="s">
        <v>3</v>
      </c>
      <c r="BT46" s="188">
        <v>0.03982638888888889</v>
      </c>
      <c r="BU46" s="93">
        <v>769.3133047210301</v>
      </c>
      <c r="BV46" s="277"/>
      <c r="BW46" s="277"/>
      <c r="BX46" s="188"/>
      <c r="BY46" s="36"/>
      <c r="BZ46" s="277"/>
      <c r="CA46" s="277"/>
      <c r="CB46" s="188"/>
      <c r="CC46" s="36"/>
      <c r="CD46" s="274"/>
      <c r="CE46" s="274"/>
      <c r="CF46" s="273"/>
      <c r="CG46" s="93"/>
      <c r="CH46" s="274"/>
      <c r="CI46" s="274"/>
      <c r="CJ46" s="281"/>
      <c r="CK46" s="93"/>
      <c r="CL46" s="274"/>
      <c r="CM46" s="274"/>
      <c r="CN46" s="281"/>
      <c r="CO46" s="93"/>
      <c r="CP46" s="274"/>
      <c r="CQ46" s="274"/>
      <c r="CR46" s="281"/>
      <c r="CS46" s="93"/>
      <c r="CT46" s="274"/>
      <c r="CU46" s="274"/>
      <c r="CV46" s="281"/>
      <c r="CW46" s="93"/>
      <c r="CX46" s="274"/>
      <c r="CY46" s="274"/>
      <c r="CZ46" s="281"/>
      <c r="DA46" s="93"/>
      <c r="DB46" s="274"/>
      <c r="DC46" s="274"/>
      <c r="DD46" s="281"/>
      <c r="DE46" s="93"/>
    </row>
    <row r="47" spans="1:109" ht="12.75">
      <c r="A47" s="253">
        <v>34</v>
      </c>
      <c r="B47" s="265" t="s">
        <v>757</v>
      </c>
      <c r="C47" s="193" t="s">
        <v>131</v>
      </c>
      <c r="D47" s="193" t="s">
        <v>789</v>
      </c>
      <c r="F47" s="548"/>
      <c r="G47" s="255">
        <f t="shared" si="1"/>
        <v>3125.08073196986</v>
      </c>
      <c r="H47" s="256">
        <f t="shared" si="2"/>
        <v>3125.08073196986</v>
      </c>
      <c r="I47" s="257">
        <v>4</v>
      </c>
      <c r="J47" s="289"/>
      <c r="K47" s="277"/>
      <c r="L47" s="276"/>
      <c r="M47" s="35"/>
      <c r="N47" s="277"/>
      <c r="O47" s="277"/>
      <c r="P47" s="276"/>
      <c r="Q47" s="35"/>
      <c r="R47" s="277"/>
      <c r="S47" s="277"/>
      <c r="T47" s="278"/>
      <c r="U47" s="36"/>
      <c r="V47" s="277"/>
      <c r="W47" s="277"/>
      <c r="X47" s="276"/>
      <c r="Y47" s="290"/>
      <c r="Z47" s="274"/>
      <c r="AA47" s="274"/>
      <c r="AB47" s="275"/>
      <c r="AC47" s="93"/>
      <c r="AD47" s="274"/>
      <c r="AE47" s="274"/>
      <c r="AF47" s="275"/>
      <c r="AG47" s="93"/>
      <c r="AH47" s="274"/>
      <c r="AI47" s="274"/>
      <c r="AJ47" s="275"/>
      <c r="AK47" s="35"/>
      <c r="AL47" s="277"/>
      <c r="AM47" s="277"/>
      <c r="AN47" s="188"/>
      <c r="AO47" s="36"/>
      <c r="AP47" s="277"/>
      <c r="AQ47" s="277"/>
      <c r="AR47" s="188"/>
      <c r="AS47" s="36"/>
      <c r="AT47" s="277"/>
      <c r="AU47" s="277"/>
      <c r="AV47" s="188"/>
      <c r="AW47" s="36"/>
      <c r="AX47" s="277"/>
      <c r="AY47" s="277"/>
      <c r="AZ47" s="188"/>
      <c r="BA47" s="36"/>
      <c r="BB47" s="277"/>
      <c r="BC47" s="277"/>
      <c r="BD47" s="188"/>
      <c r="BE47" s="36"/>
      <c r="BF47" s="277" t="s">
        <v>754</v>
      </c>
      <c r="BG47" s="277" t="s">
        <v>4</v>
      </c>
      <c r="BH47" s="188">
        <v>0.026296296296296293</v>
      </c>
      <c r="BI47" s="93">
        <v>800</v>
      </c>
      <c r="BJ47" s="277" t="s">
        <v>754</v>
      </c>
      <c r="BK47" s="277" t="s">
        <v>4</v>
      </c>
      <c r="BL47" s="188">
        <v>0.01175925925925926</v>
      </c>
      <c r="BM47" s="93">
        <v>725.08073196986</v>
      </c>
      <c r="BN47" s="277" t="s">
        <v>754</v>
      </c>
      <c r="BO47" s="277" t="s">
        <v>4</v>
      </c>
      <c r="BP47" s="188">
        <v>0.04109953703703704</v>
      </c>
      <c r="BQ47" s="93">
        <v>800</v>
      </c>
      <c r="BR47" s="277" t="s">
        <v>754</v>
      </c>
      <c r="BS47" s="277" t="s">
        <v>4</v>
      </c>
      <c r="BT47" s="188">
        <v>0.026875</v>
      </c>
      <c r="BU47" s="93">
        <v>800</v>
      </c>
      <c r="BV47" s="277"/>
      <c r="BW47" s="277"/>
      <c r="BX47" s="188"/>
      <c r="BY47" s="36"/>
      <c r="BZ47" s="277"/>
      <c r="CA47" s="277"/>
      <c r="CB47" s="188"/>
      <c r="CC47" s="36"/>
      <c r="CD47" s="274"/>
      <c r="CE47" s="274"/>
      <c r="CF47" s="273"/>
      <c r="CG47" s="93"/>
      <c r="CH47" s="274"/>
      <c r="CI47" s="274"/>
      <c r="CJ47" s="273"/>
      <c r="CK47" s="93"/>
      <c r="CL47" s="274"/>
      <c r="CM47" s="274"/>
      <c r="CN47" s="273"/>
      <c r="CO47" s="93"/>
      <c r="CP47" s="274"/>
      <c r="CQ47" s="274"/>
      <c r="CR47" s="273"/>
      <c r="CS47" s="93"/>
      <c r="CT47" s="274"/>
      <c r="CU47" s="274"/>
      <c r="CV47" s="273"/>
      <c r="CW47" s="93"/>
      <c r="CX47" s="274"/>
      <c r="CY47" s="274"/>
      <c r="CZ47" s="273"/>
      <c r="DA47" s="93"/>
      <c r="DB47" s="274"/>
      <c r="DC47" s="274"/>
      <c r="DD47" s="273"/>
      <c r="DE47" s="93"/>
    </row>
    <row r="48" spans="1:109" ht="12.75">
      <c r="A48" s="253">
        <v>35</v>
      </c>
      <c r="B48" s="265" t="s">
        <v>469</v>
      </c>
      <c r="C48" s="193" t="s">
        <v>470</v>
      </c>
      <c r="D48" s="193" t="s">
        <v>471</v>
      </c>
      <c r="F48" s="190"/>
      <c r="G48" s="255">
        <f t="shared" si="1"/>
        <v>3117.712722477385</v>
      </c>
      <c r="H48" s="256">
        <f t="shared" si="2"/>
        <v>3117.712722477385</v>
      </c>
      <c r="I48" s="257">
        <v>3</v>
      </c>
      <c r="J48" s="280"/>
      <c r="K48" s="274"/>
      <c r="L48" s="281"/>
      <c r="M48" s="93"/>
      <c r="N48" s="274"/>
      <c r="O48" s="274"/>
      <c r="P48" s="281"/>
      <c r="Q48" s="93"/>
      <c r="R48" s="274"/>
      <c r="S48" s="274"/>
      <c r="T48" s="281"/>
      <c r="U48" s="93"/>
      <c r="V48" s="277"/>
      <c r="W48" s="277"/>
      <c r="X48" s="276"/>
      <c r="Y48" s="93"/>
      <c r="Z48" s="274" t="s">
        <v>493</v>
      </c>
      <c r="AA48" s="274" t="s">
        <v>3</v>
      </c>
      <c r="AB48" s="188">
        <v>0.013414351851851851</v>
      </c>
      <c r="AC48" s="36">
        <v>1050</v>
      </c>
      <c r="AD48" s="274" t="s">
        <v>493</v>
      </c>
      <c r="AE48" s="274" t="s">
        <v>3</v>
      </c>
      <c r="AF48" s="188">
        <v>0.05601851851851852</v>
      </c>
      <c r="AG48" s="36">
        <v>1036.597614563716</v>
      </c>
      <c r="AH48" s="274" t="s">
        <v>493</v>
      </c>
      <c r="AI48" s="274" t="s">
        <v>3</v>
      </c>
      <c r="AJ48" s="188">
        <v>0.042581018518518525</v>
      </c>
      <c r="AK48" s="36">
        <v>1031.115107913669</v>
      </c>
      <c r="AL48" s="274"/>
      <c r="AM48" s="274"/>
      <c r="AN48" s="273"/>
      <c r="AO48" s="93"/>
      <c r="AP48" s="274"/>
      <c r="AQ48" s="274"/>
      <c r="AR48" s="281"/>
      <c r="AS48" s="93"/>
      <c r="AT48" s="274"/>
      <c r="AU48" s="274"/>
      <c r="AV48" s="273"/>
      <c r="AW48" s="93"/>
      <c r="AX48" s="274"/>
      <c r="AY48" s="274"/>
      <c r="AZ48" s="275"/>
      <c r="BA48" s="93"/>
      <c r="BB48" s="274"/>
      <c r="BC48" s="274"/>
      <c r="BD48" s="273"/>
      <c r="BE48" s="93"/>
      <c r="BF48" s="274"/>
      <c r="BG48" s="274"/>
      <c r="BH48" s="281"/>
      <c r="BI48" s="93"/>
      <c r="BJ48" s="274"/>
      <c r="BK48" s="274"/>
      <c r="BL48" s="273"/>
      <c r="BM48" s="93"/>
      <c r="BN48" s="274"/>
      <c r="BO48" s="274"/>
      <c r="BP48" s="275"/>
      <c r="BQ48" s="93"/>
      <c r="BR48" s="274"/>
      <c r="BS48" s="274"/>
      <c r="BT48" s="275"/>
      <c r="BU48" s="93"/>
      <c r="BV48" s="274"/>
      <c r="BW48" s="274"/>
      <c r="BX48" s="275"/>
      <c r="BY48" s="93"/>
      <c r="BZ48" s="274"/>
      <c r="CA48" s="274"/>
      <c r="CB48" s="275"/>
      <c r="CC48" s="93"/>
      <c r="CD48" s="274"/>
      <c r="CE48" s="274"/>
      <c r="CF48" s="273"/>
      <c r="CG48" s="93"/>
      <c r="CH48" s="274"/>
      <c r="CI48" s="274"/>
      <c r="CJ48" s="273"/>
      <c r="CK48" s="93"/>
      <c r="CL48" s="274"/>
      <c r="CM48" s="274"/>
      <c r="CN48" s="273"/>
      <c r="CO48" s="93"/>
      <c r="CP48" s="274"/>
      <c r="CQ48" s="274"/>
      <c r="CR48" s="273"/>
      <c r="CS48" s="93"/>
      <c r="CT48" s="274"/>
      <c r="CU48" s="274"/>
      <c r="CV48" s="273"/>
      <c r="CW48" s="93"/>
      <c r="CX48" s="274"/>
      <c r="CY48" s="274"/>
      <c r="CZ48" s="273"/>
      <c r="DA48" s="93"/>
      <c r="DB48" s="274"/>
      <c r="DC48" s="274"/>
      <c r="DD48" s="273"/>
      <c r="DE48" s="93"/>
    </row>
    <row r="49" spans="1:109" ht="12.75">
      <c r="A49" s="253">
        <v>36</v>
      </c>
      <c r="B49" s="265" t="s">
        <v>472</v>
      </c>
      <c r="C49" s="193" t="s">
        <v>473</v>
      </c>
      <c r="D49" s="193" t="s">
        <v>474</v>
      </c>
      <c r="F49" s="190"/>
      <c r="G49" s="255">
        <f t="shared" si="1"/>
        <v>3052.478276335254</v>
      </c>
      <c r="H49" s="256">
        <f t="shared" si="2"/>
        <v>3052.478276335254</v>
      </c>
      <c r="I49" s="257">
        <v>3</v>
      </c>
      <c r="J49" s="280"/>
      <c r="K49" s="274"/>
      <c r="L49" s="281"/>
      <c r="M49" s="93"/>
      <c r="N49" s="274"/>
      <c r="O49" s="274"/>
      <c r="P49" s="281"/>
      <c r="Q49" s="93"/>
      <c r="R49" s="274"/>
      <c r="S49" s="274"/>
      <c r="T49" s="281"/>
      <c r="U49" s="93"/>
      <c r="V49" s="277"/>
      <c r="W49" s="277"/>
      <c r="X49" s="276"/>
      <c r="Y49" s="93"/>
      <c r="Z49" s="274" t="s">
        <v>493</v>
      </c>
      <c r="AA49" s="274" t="s">
        <v>3</v>
      </c>
      <c r="AB49" s="188">
        <v>0.013958333333333335</v>
      </c>
      <c r="AC49" s="36">
        <v>1007.4201898188091</v>
      </c>
      <c r="AD49" s="274" t="s">
        <v>493</v>
      </c>
      <c r="AE49" s="274" t="s">
        <v>3</v>
      </c>
      <c r="AF49" s="188">
        <v>0.05597222222222222</v>
      </c>
      <c r="AG49" s="36">
        <v>1037.4764595103577</v>
      </c>
      <c r="AH49" s="274" t="s">
        <v>493</v>
      </c>
      <c r="AI49" s="274" t="s">
        <v>3</v>
      </c>
      <c r="AJ49" s="188">
        <v>0.04351851851851852</v>
      </c>
      <c r="AK49" s="36">
        <v>1007.5816270060874</v>
      </c>
      <c r="AL49" s="274"/>
      <c r="AM49" s="274"/>
      <c r="AN49" s="273"/>
      <c r="AO49" s="93"/>
      <c r="AP49" s="274"/>
      <c r="AQ49" s="274"/>
      <c r="AR49" s="273"/>
      <c r="AS49" s="93"/>
      <c r="AT49" s="274"/>
      <c r="AU49" s="274"/>
      <c r="AV49" s="275"/>
      <c r="AW49" s="93"/>
      <c r="AX49" s="274"/>
      <c r="AY49" s="274"/>
      <c r="AZ49" s="275"/>
      <c r="BA49" s="93"/>
      <c r="BB49" s="274"/>
      <c r="BC49" s="274"/>
      <c r="BD49" s="273"/>
      <c r="BE49" s="93"/>
      <c r="BF49" s="274"/>
      <c r="BG49" s="274"/>
      <c r="BH49" s="273"/>
      <c r="BI49" s="93"/>
      <c r="BJ49" s="274"/>
      <c r="BK49" s="274"/>
      <c r="BL49" s="275"/>
      <c r="BM49" s="93"/>
      <c r="BN49" s="274"/>
      <c r="BO49" s="274"/>
      <c r="BP49" s="273"/>
      <c r="BQ49" s="93"/>
      <c r="BR49" s="274"/>
      <c r="BS49" s="274"/>
      <c r="BT49" s="273"/>
      <c r="BU49" s="93"/>
      <c r="BV49" s="274"/>
      <c r="BW49" s="274"/>
      <c r="BX49" s="273"/>
      <c r="BY49" s="93"/>
      <c r="BZ49" s="274"/>
      <c r="CA49" s="274"/>
      <c r="CB49" s="273"/>
      <c r="CC49" s="93"/>
      <c r="CD49" s="274"/>
      <c r="CE49" s="274"/>
      <c r="CF49" s="273"/>
      <c r="CG49" s="93"/>
      <c r="CH49" s="274"/>
      <c r="CI49" s="274"/>
      <c r="CJ49" s="273"/>
      <c r="CK49" s="93"/>
      <c r="CL49" s="274"/>
      <c r="CM49" s="274"/>
      <c r="CN49" s="273"/>
      <c r="CO49" s="93"/>
      <c r="CP49" s="274"/>
      <c r="CQ49" s="274"/>
      <c r="CR49" s="273"/>
      <c r="CS49" s="93"/>
      <c r="CT49" s="274"/>
      <c r="CU49" s="274"/>
      <c r="CV49" s="273"/>
      <c r="CW49" s="93"/>
      <c r="CX49" s="274"/>
      <c r="CY49" s="274"/>
      <c r="CZ49" s="273"/>
      <c r="DA49" s="93"/>
      <c r="DB49" s="274"/>
      <c r="DC49" s="274"/>
      <c r="DD49" s="273"/>
      <c r="DE49" s="93"/>
    </row>
    <row r="50" spans="1:109" ht="12.75">
      <c r="A50" s="253">
        <v>37</v>
      </c>
      <c r="B50" s="259" t="s">
        <v>107</v>
      </c>
      <c r="C50" s="193" t="s">
        <v>10</v>
      </c>
      <c r="D50" s="193" t="s">
        <v>11</v>
      </c>
      <c r="E50" s="193" t="s">
        <v>360</v>
      </c>
      <c r="F50" s="548">
        <v>1969</v>
      </c>
      <c r="G50" s="255">
        <f t="shared" si="1"/>
        <v>2970.6635014786725</v>
      </c>
      <c r="H50" s="256">
        <f t="shared" si="2"/>
        <v>2970.6635014786725</v>
      </c>
      <c r="I50" s="257">
        <v>6</v>
      </c>
      <c r="J50" s="280"/>
      <c r="K50" s="274"/>
      <c r="L50" s="275"/>
      <c r="M50" s="93"/>
      <c r="N50" s="274"/>
      <c r="O50" s="274"/>
      <c r="P50" s="281"/>
      <c r="Q50" s="93"/>
      <c r="R50" s="274"/>
      <c r="S50" s="274"/>
      <c r="T50" s="275"/>
      <c r="U50" s="93"/>
      <c r="V50" s="274"/>
      <c r="W50" s="274"/>
      <c r="X50" s="275"/>
      <c r="Y50" s="93"/>
      <c r="Z50" s="274"/>
      <c r="AA50" s="274"/>
      <c r="AB50" s="278"/>
      <c r="AC50" s="93"/>
      <c r="AD50" s="274"/>
      <c r="AE50" s="274"/>
      <c r="AF50" s="275"/>
      <c r="AG50" s="93"/>
      <c r="AH50" s="274" t="s">
        <v>401</v>
      </c>
      <c r="AI50" s="274" t="s">
        <v>159</v>
      </c>
      <c r="AJ50" s="275">
        <v>0.04900462962962963</v>
      </c>
      <c r="AK50" s="93">
        <v>601.9278569263415</v>
      </c>
      <c r="AL50" s="277" t="s">
        <v>633</v>
      </c>
      <c r="AM50" s="277" t="s">
        <v>159</v>
      </c>
      <c r="AN50" s="188">
        <v>0.10436342592592592</v>
      </c>
      <c r="AO50" s="93">
        <v>516.0808904216964</v>
      </c>
      <c r="AP50" s="277" t="s">
        <v>633</v>
      </c>
      <c r="AQ50" s="277" t="s">
        <v>4</v>
      </c>
      <c r="AR50" s="188">
        <v>0.03603009259259259</v>
      </c>
      <c r="AS50" s="93">
        <v>426.2901655306721</v>
      </c>
      <c r="AT50" s="274"/>
      <c r="AU50" s="274"/>
      <c r="AV50" s="275"/>
      <c r="AW50" s="93"/>
      <c r="AX50" s="274"/>
      <c r="AY50" s="274"/>
      <c r="AZ50" s="273"/>
      <c r="BA50" s="93"/>
      <c r="BB50" s="274"/>
      <c r="BC50" s="274"/>
      <c r="BD50" s="273"/>
      <c r="BE50" s="93"/>
      <c r="BF50" s="277" t="s">
        <v>753</v>
      </c>
      <c r="BG50" s="277" t="s">
        <v>4</v>
      </c>
      <c r="BH50" s="188">
        <v>0.036909722222222226</v>
      </c>
      <c r="BI50" s="93">
        <v>477.1126760563378</v>
      </c>
      <c r="BJ50" s="277" t="s">
        <v>753</v>
      </c>
      <c r="BK50" s="277" t="s">
        <v>4</v>
      </c>
      <c r="BL50" s="188">
        <v>0.015150462962962963</v>
      </c>
      <c r="BM50" s="93">
        <v>472.7664155005382</v>
      </c>
      <c r="BN50" s="277" t="s">
        <v>753</v>
      </c>
      <c r="BO50" s="277" t="s">
        <v>4</v>
      </c>
      <c r="BP50" s="188">
        <v>0.05771990740740741</v>
      </c>
      <c r="BQ50" s="93">
        <v>476.4854970430864</v>
      </c>
      <c r="BR50" s="277"/>
      <c r="BS50" s="277"/>
      <c r="BT50" s="277"/>
      <c r="BU50" s="93"/>
      <c r="BV50" s="274"/>
      <c r="BW50" s="274"/>
      <c r="BX50" s="273"/>
      <c r="BY50" s="93"/>
      <c r="BZ50" s="274"/>
      <c r="CA50" s="274"/>
      <c r="CB50" s="273"/>
      <c r="CC50" s="93"/>
      <c r="CD50" s="274"/>
      <c r="CE50" s="274"/>
      <c r="CF50" s="273"/>
      <c r="CG50" s="93"/>
      <c r="CH50" s="274"/>
      <c r="CI50" s="274"/>
      <c r="CJ50" s="273"/>
      <c r="CK50" s="93"/>
      <c r="CL50" s="274"/>
      <c r="CM50" s="274"/>
      <c r="CN50" s="273"/>
      <c r="CO50" s="93"/>
      <c r="CP50" s="274"/>
      <c r="CQ50" s="274"/>
      <c r="CR50" s="273"/>
      <c r="CS50" s="93"/>
      <c r="CT50" s="274"/>
      <c r="CU50" s="274"/>
      <c r="CV50" s="273"/>
      <c r="CW50" s="93"/>
      <c r="CX50" s="274"/>
      <c r="CY50" s="274"/>
      <c r="CZ50" s="273"/>
      <c r="DA50" s="93"/>
      <c r="DB50" s="274"/>
      <c r="DC50" s="274"/>
      <c r="DD50" s="273"/>
      <c r="DE50" s="93"/>
    </row>
    <row r="51" spans="1:109" ht="12.75">
      <c r="A51" s="253">
        <v>38</v>
      </c>
      <c r="B51" s="259" t="s">
        <v>342</v>
      </c>
      <c r="C51" s="193" t="s">
        <v>10</v>
      </c>
      <c r="D51" s="193" t="s">
        <v>117</v>
      </c>
      <c r="F51" s="548">
        <v>1989</v>
      </c>
      <c r="G51" s="255">
        <f t="shared" si="1"/>
        <v>2836.3059527312357</v>
      </c>
      <c r="H51" s="256">
        <f t="shared" si="2"/>
        <v>2836.3059527312357</v>
      </c>
      <c r="I51" s="257">
        <v>9</v>
      </c>
      <c r="J51" s="277" t="s">
        <v>412</v>
      </c>
      <c r="K51" s="277" t="s">
        <v>4</v>
      </c>
      <c r="L51" s="278">
        <v>0.039699074074074074</v>
      </c>
      <c r="M51" s="93">
        <v>595.2398388868545</v>
      </c>
      <c r="N51" s="274" t="s">
        <v>418</v>
      </c>
      <c r="O51" s="274" t="s">
        <v>3</v>
      </c>
      <c r="P51" s="275">
        <v>0.08806712962962963</v>
      </c>
      <c r="Q51" s="93">
        <v>175.73723327739123</v>
      </c>
      <c r="R51" s="274"/>
      <c r="S51" s="274"/>
      <c r="T51" s="275"/>
      <c r="U51" s="93"/>
      <c r="V51" s="274"/>
      <c r="W51" s="274"/>
      <c r="X51" s="281"/>
      <c r="Y51" s="93"/>
      <c r="Z51" s="274"/>
      <c r="AA51" s="274"/>
      <c r="AB51" s="275"/>
      <c r="AC51" s="93"/>
      <c r="AD51" s="274"/>
      <c r="AE51" s="274"/>
      <c r="AF51" s="275"/>
      <c r="AG51" s="93"/>
      <c r="AH51" s="274"/>
      <c r="AI51" s="274"/>
      <c r="AJ51" s="275"/>
      <c r="AK51" s="93"/>
      <c r="AL51" s="277"/>
      <c r="AM51" s="277"/>
      <c r="AN51" s="277"/>
      <c r="AO51" s="93"/>
      <c r="AP51" s="277" t="s">
        <v>377</v>
      </c>
      <c r="AQ51" s="277" t="s">
        <v>3</v>
      </c>
      <c r="AR51" s="188">
        <v>0.036898148148148145</v>
      </c>
      <c r="AS51" s="93">
        <v>328.70864461045903</v>
      </c>
      <c r="AT51" s="277"/>
      <c r="AU51" s="277"/>
      <c r="AV51" s="188"/>
      <c r="AW51" s="93"/>
      <c r="AX51" s="274"/>
      <c r="AY51" s="274"/>
      <c r="AZ51" s="275"/>
      <c r="BA51" s="93"/>
      <c r="BB51" s="274"/>
      <c r="BC51" s="274"/>
      <c r="BD51" s="275"/>
      <c r="BE51" s="93"/>
      <c r="BF51" s="277" t="s">
        <v>754</v>
      </c>
      <c r="BG51" s="277" t="s">
        <v>4</v>
      </c>
      <c r="BH51" s="188">
        <v>0.038113425925925926</v>
      </c>
      <c r="BI51" s="93">
        <v>440.4929577464788</v>
      </c>
      <c r="BJ51" s="277" t="s">
        <v>754</v>
      </c>
      <c r="BK51" s="277" t="s">
        <v>4</v>
      </c>
      <c r="BL51" s="188">
        <v>0.01480324074074074</v>
      </c>
      <c r="BM51" s="93">
        <v>498.6006458557588</v>
      </c>
      <c r="BN51" s="277" t="s">
        <v>754</v>
      </c>
      <c r="BO51" s="277" t="s">
        <v>4</v>
      </c>
      <c r="BP51" s="188">
        <v>0.06537037037037037</v>
      </c>
      <c r="BQ51" s="93">
        <v>327.56969867642914</v>
      </c>
      <c r="BR51" s="277" t="s">
        <v>754</v>
      </c>
      <c r="BS51" s="277" t="s">
        <v>4</v>
      </c>
      <c r="BT51" s="188">
        <v>0.03863425925925926</v>
      </c>
      <c r="BU51" s="93">
        <v>449.95693367786396</v>
      </c>
      <c r="BV51" s="277" t="s">
        <v>756</v>
      </c>
      <c r="BW51" s="277" t="s">
        <v>3</v>
      </c>
      <c r="BX51" s="188">
        <v>0.0687037037037037</v>
      </c>
      <c r="BY51" s="93">
        <v>10</v>
      </c>
      <c r="BZ51" s="274"/>
      <c r="CA51" s="274"/>
      <c r="CB51" s="273"/>
      <c r="CC51" s="93"/>
      <c r="CD51" s="277" t="s">
        <v>237</v>
      </c>
      <c r="CE51" s="277" t="s">
        <v>3</v>
      </c>
      <c r="CF51" s="188">
        <v>0.07332175925925927</v>
      </c>
      <c r="CG51" s="93">
        <v>10</v>
      </c>
      <c r="CH51" s="274"/>
      <c r="CI51" s="274"/>
      <c r="CJ51" s="273"/>
      <c r="CK51" s="93"/>
      <c r="CL51" s="274"/>
      <c r="CM51" s="274"/>
      <c r="CN51" s="273"/>
      <c r="CO51" s="93"/>
      <c r="CP51" s="274"/>
      <c r="CQ51" s="274"/>
      <c r="CR51" s="273"/>
      <c r="CS51" s="93"/>
      <c r="CT51" s="274"/>
      <c r="CU51" s="274"/>
      <c r="CV51" s="273"/>
      <c r="CW51" s="93"/>
      <c r="CX51" s="274"/>
      <c r="CY51" s="274"/>
      <c r="CZ51" s="273"/>
      <c r="DA51" s="93"/>
      <c r="DB51" s="274"/>
      <c r="DC51" s="274"/>
      <c r="DD51" s="273"/>
      <c r="DE51" s="93"/>
    </row>
    <row r="52" spans="1:109" ht="12.75">
      <c r="A52" s="253">
        <v>39</v>
      </c>
      <c r="B52" s="265" t="s">
        <v>475</v>
      </c>
      <c r="C52" s="193" t="s">
        <v>476</v>
      </c>
      <c r="D52" s="193" t="s">
        <v>477</v>
      </c>
      <c r="F52" s="190"/>
      <c r="G52" s="255">
        <f t="shared" si="1"/>
        <v>2753.4047810788456</v>
      </c>
      <c r="H52" s="256">
        <f t="shared" si="2"/>
        <v>2753.4047810788456</v>
      </c>
      <c r="I52" s="257">
        <v>3</v>
      </c>
      <c r="J52" s="280"/>
      <c r="K52" s="274"/>
      <c r="L52" s="281"/>
      <c r="M52" s="93"/>
      <c r="N52" s="274"/>
      <c r="O52" s="274"/>
      <c r="P52" s="281"/>
      <c r="Q52" s="93"/>
      <c r="R52" s="274"/>
      <c r="S52" s="274"/>
      <c r="T52" s="281"/>
      <c r="U52" s="93"/>
      <c r="V52" s="277"/>
      <c r="W52" s="277"/>
      <c r="X52" s="276"/>
      <c r="Y52" s="93"/>
      <c r="Z52" s="274" t="s">
        <v>493</v>
      </c>
      <c r="AA52" s="274" t="s">
        <v>3</v>
      </c>
      <c r="AB52" s="188">
        <v>0.014328703703703703</v>
      </c>
      <c r="AC52" s="36">
        <v>978.4296807592752</v>
      </c>
      <c r="AD52" s="274" t="s">
        <v>493</v>
      </c>
      <c r="AE52" s="274" t="s">
        <v>3</v>
      </c>
      <c r="AF52" s="188">
        <v>0.07056712962962963</v>
      </c>
      <c r="AG52" s="36">
        <v>760.4205900816069</v>
      </c>
      <c r="AH52" s="274" t="s">
        <v>493</v>
      </c>
      <c r="AI52" s="274" t="s">
        <v>3</v>
      </c>
      <c r="AJ52" s="188">
        <v>0.04324074074074074</v>
      </c>
      <c r="AK52" s="36">
        <v>1014.5545102379635</v>
      </c>
      <c r="AL52" s="274"/>
      <c r="AM52" s="274"/>
      <c r="AN52" s="273"/>
      <c r="AO52" s="93"/>
      <c r="AP52" s="274"/>
      <c r="AQ52" s="274"/>
      <c r="AR52" s="273"/>
      <c r="AS52" s="93"/>
      <c r="AT52" s="274"/>
      <c r="AU52" s="274"/>
      <c r="AV52" s="273"/>
      <c r="AW52" s="93"/>
      <c r="AX52" s="274"/>
      <c r="AY52" s="274"/>
      <c r="AZ52" s="275"/>
      <c r="BA52" s="93"/>
      <c r="BB52" s="274"/>
      <c r="BC52" s="274"/>
      <c r="BD52" s="275"/>
      <c r="BE52" s="93"/>
      <c r="BF52" s="274"/>
      <c r="BG52" s="274"/>
      <c r="BH52" s="275"/>
      <c r="BI52" s="93"/>
      <c r="BJ52" s="274"/>
      <c r="BK52" s="274"/>
      <c r="BL52" s="273"/>
      <c r="BM52" s="93"/>
      <c r="BN52" s="274"/>
      <c r="BO52" s="274"/>
      <c r="BP52" s="273"/>
      <c r="BQ52" s="93"/>
      <c r="BR52" s="274"/>
      <c r="BS52" s="274"/>
      <c r="BT52" s="273"/>
      <c r="BU52" s="93"/>
      <c r="BV52" s="274"/>
      <c r="BW52" s="274"/>
      <c r="BX52" s="273"/>
      <c r="BY52" s="93"/>
      <c r="BZ52" s="274"/>
      <c r="CA52" s="274"/>
      <c r="CB52" s="275"/>
      <c r="CC52" s="93"/>
      <c r="CD52" s="274"/>
      <c r="CE52" s="274"/>
      <c r="CF52" s="273"/>
      <c r="CG52" s="93"/>
      <c r="CH52" s="274"/>
      <c r="CI52" s="274"/>
      <c r="CJ52" s="273"/>
      <c r="CK52" s="93"/>
      <c r="CL52" s="274"/>
      <c r="CM52" s="274"/>
      <c r="CN52" s="273"/>
      <c r="CO52" s="93"/>
      <c r="CP52" s="274"/>
      <c r="CQ52" s="274"/>
      <c r="CR52" s="273"/>
      <c r="CS52" s="93"/>
      <c r="CT52" s="274"/>
      <c r="CU52" s="274"/>
      <c r="CV52" s="273"/>
      <c r="CW52" s="93"/>
      <c r="CX52" s="274"/>
      <c r="CY52" s="274"/>
      <c r="CZ52" s="273"/>
      <c r="DA52" s="93"/>
      <c r="DB52" s="274"/>
      <c r="DC52" s="274"/>
      <c r="DD52" s="273"/>
      <c r="DE52" s="93"/>
    </row>
    <row r="53" spans="1:109" ht="12.75">
      <c r="A53" s="253">
        <v>40</v>
      </c>
      <c r="B53" s="265" t="s">
        <v>479</v>
      </c>
      <c r="C53" s="193" t="s">
        <v>473</v>
      </c>
      <c r="D53" s="193" t="s">
        <v>474</v>
      </c>
      <c r="F53" s="190"/>
      <c r="G53" s="255">
        <f t="shared" si="1"/>
        <v>2750.9698011187415</v>
      </c>
      <c r="H53" s="256">
        <f t="shared" si="2"/>
        <v>2750.9698011187415</v>
      </c>
      <c r="I53" s="257">
        <v>3</v>
      </c>
      <c r="J53" s="280"/>
      <c r="K53" s="274"/>
      <c r="L53" s="281"/>
      <c r="M53" s="93"/>
      <c r="N53" s="274"/>
      <c r="O53" s="274"/>
      <c r="P53" s="281"/>
      <c r="Q53" s="93"/>
      <c r="R53" s="274"/>
      <c r="S53" s="274"/>
      <c r="T53" s="281"/>
      <c r="U53" s="93"/>
      <c r="V53" s="277"/>
      <c r="W53" s="277"/>
      <c r="X53" s="276"/>
      <c r="Y53" s="93"/>
      <c r="Z53" s="274" t="s">
        <v>493</v>
      </c>
      <c r="AA53" s="274" t="s">
        <v>3</v>
      </c>
      <c r="AB53" s="188">
        <v>0.014849537037037036</v>
      </c>
      <c r="AC53" s="36">
        <v>937.6617773943054</v>
      </c>
      <c r="AD53" s="274" t="s">
        <v>493</v>
      </c>
      <c r="AE53" s="274" t="s">
        <v>3</v>
      </c>
      <c r="AF53" s="188">
        <v>0.06510416666666667</v>
      </c>
      <c r="AG53" s="36">
        <v>864.1242937853104</v>
      </c>
      <c r="AH53" s="274" t="s">
        <v>493</v>
      </c>
      <c r="AI53" s="274" t="s">
        <v>3</v>
      </c>
      <c r="AJ53" s="188">
        <v>0.045844907407407404</v>
      </c>
      <c r="AK53" s="36">
        <v>949.1837299391258</v>
      </c>
      <c r="AL53" s="274"/>
      <c r="AM53" s="274"/>
      <c r="AN53" s="273"/>
      <c r="AO53" s="93"/>
      <c r="AP53" s="274"/>
      <c r="AQ53" s="274"/>
      <c r="AR53" s="275"/>
      <c r="AS53" s="93"/>
      <c r="AT53" s="274"/>
      <c r="AU53" s="274"/>
      <c r="AV53" s="273"/>
      <c r="AW53" s="93"/>
      <c r="AX53" s="274"/>
      <c r="AY53" s="274"/>
      <c r="AZ53" s="275"/>
      <c r="BA53" s="93"/>
      <c r="BB53" s="274"/>
      <c r="BC53" s="274"/>
      <c r="BD53" s="273"/>
      <c r="BE53" s="93"/>
      <c r="BF53" s="274"/>
      <c r="BG53" s="274"/>
      <c r="BH53" s="281"/>
      <c r="BI53" s="93"/>
      <c r="BJ53" s="274"/>
      <c r="BK53" s="274"/>
      <c r="BL53" s="273"/>
      <c r="BM53" s="93"/>
      <c r="BN53" s="274"/>
      <c r="BO53" s="274"/>
      <c r="BP53" s="275"/>
      <c r="BQ53" s="93"/>
      <c r="BR53" s="274"/>
      <c r="BS53" s="274"/>
      <c r="BT53" s="275"/>
      <c r="BU53" s="93"/>
      <c r="BV53" s="274"/>
      <c r="BW53" s="274"/>
      <c r="BX53" s="275"/>
      <c r="BY53" s="93"/>
      <c r="BZ53" s="274"/>
      <c r="CA53" s="274"/>
      <c r="CB53" s="275"/>
      <c r="CC53" s="93"/>
      <c r="CD53" s="274"/>
      <c r="CE53" s="274"/>
      <c r="CF53" s="273"/>
      <c r="CG53" s="93"/>
      <c r="CH53" s="274"/>
      <c r="CI53" s="274"/>
      <c r="CJ53" s="273"/>
      <c r="CK53" s="93"/>
      <c r="CL53" s="274"/>
      <c r="CM53" s="274"/>
      <c r="CN53" s="273"/>
      <c r="CO53" s="93"/>
      <c r="CP53" s="274"/>
      <c r="CQ53" s="274"/>
      <c r="CR53" s="273"/>
      <c r="CS53" s="93"/>
      <c r="CT53" s="274"/>
      <c r="CU53" s="274"/>
      <c r="CV53" s="273"/>
      <c r="CW53" s="93"/>
      <c r="CX53" s="274"/>
      <c r="CY53" s="274"/>
      <c r="CZ53" s="273"/>
      <c r="DA53" s="93"/>
      <c r="DB53" s="274"/>
      <c r="DC53" s="274"/>
      <c r="DD53" s="273"/>
      <c r="DE53" s="93"/>
    </row>
    <row r="54" spans="1:109" ht="12.75">
      <c r="A54" s="253">
        <v>41</v>
      </c>
      <c r="B54" s="265" t="s">
        <v>595</v>
      </c>
      <c r="C54" s="193" t="s">
        <v>470</v>
      </c>
      <c r="D54" s="193" t="s">
        <v>471</v>
      </c>
      <c r="F54" s="190"/>
      <c r="G54" s="255">
        <f t="shared" si="1"/>
        <v>2677.5</v>
      </c>
      <c r="H54" s="256">
        <f t="shared" si="2"/>
        <v>2677.5</v>
      </c>
      <c r="I54" s="257">
        <v>3</v>
      </c>
      <c r="J54" s="289"/>
      <c r="K54" s="277"/>
      <c r="L54" s="276"/>
      <c r="M54" s="35"/>
      <c r="N54" s="277"/>
      <c r="O54" s="277"/>
      <c r="P54" s="276"/>
      <c r="Q54" s="35"/>
      <c r="R54" s="277"/>
      <c r="S54" s="277"/>
      <c r="T54" s="278"/>
      <c r="U54" s="36"/>
      <c r="V54" s="277"/>
      <c r="W54" s="277"/>
      <c r="X54" s="276"/>
      <c r="Y54" s="290"/>
      <c r="Z54" s="277" t="s">
        <v>584</v>
      </c>
      <c r="AA54" s="188" t="s">
        <v>4</v>
      </c>
      <c r="AB54" s="188">
        <v>0.012453703703703703</v>
      </c>
      <c r="AC54" s="93">
        <v>892.5</v>
      </c>
      <c r="AD54" s="277" t="s">
        <v>584</v>
      </c>
      <c r="AE54" s="188" t="s">
        <v>4</v>
      </c>
      <c r="AF54" s="188">
        <v>0.06546296296296296</v>
      </c>
      <c r="AG54" s="93">
        <v>892.5</v>
      </c>
      <c r="AH54" s="277" t="s">
        <v>584</v>
      </c>
      <c r="AI54" s="188" t="s">
        <v>4</v>
      </c>
      <c r="AJ54" s="188">
        <v>0.04252314814814815</v>
      </c>
      <c r="AK54" s="93">
        <v>892.5</v>
      </c>
      <c r="AL54" s="274"/>
      <c r="AM54" s="274"/>
      <c r="AN54" s="273"/>
      <c r="AO54" s="93"/>
      <c r="AP54" s="274"/>
      <c r="AQ54" s="274"/>
      <c r="AR54" s="275"/>
      <c r="AS54" s="93"/>
      <c r="AT54" s="274"/>
      <c r="AU54" s="274"/>
      <c r="AV54" s="273"/>
      <c r="AW54" s="93"/>
      <c r="AX54" s="274"/>
      <c r="AY54" s="274"/>
      <c r="AZ54" s="275"/>
      <c r="BA54" s="93"/>
      <c r="BB54" s="274"/>
      <c r="BC54" s="274"/>
      <c r="BD54" s="273"/>
      <c r="BE54" s="93"/>
      <c r="BF54" s="274"/>
      <c r="BG54" s="274"/>
      <c r="BH54" s="281"/>
      <c r="BI54" s="284"/>
      <c r="BJ54" s="274"/>
      <c r="BK54" s="274"/>
      <c r="BL54" s="273"/>
      <c r="BM54" s="93"/>
      <c r="BN54" s="274"/>
      <c r="BO54" s="274"/>
      <c r="BP54" s="281"/>
      <c r="BQ54" s="93"/>
      <c r="BR54" s="274"/>
      <c r="BS54" s="274"/>
      <c r="BT54" s="281"/>
      <c r="BU54" s="93"/>
      <c r="BV54" s="274"/>
      <c r="BW54" s="274"/>
      <c r="BX54" s="275"/>
      <c r="BY54" s="93"/>
      <c r="BZ54" s="274"/>
      <c r="CA54" s="274"/>
      <c r="CB54" s="275"/>
      <c r="CC54" s="93"/>
      <c r="CD54" s="274"/>
      <c r="CE54" s="274"/>
      <c r="CF54" s="273"/>
      <c r="CG54" s="93"/>
      <c r="CH54" s="274"/>
      <c r="CI54" s="274"/>
      <c r="CJ54" s="273"/>
      <c r="CK54" s="93"/>
      <c r="CL54" s="274"/>
      <c r="CM54" s="274"/>
      <c r="CN54" s="273"/>
      <c r="CO54" s="93"/>
      <c r="CP54" s="274"/>
      <c r="CQ54" s="274"/>
      <c r="CR54" s="273"/>
      <c r="CS54" s="93"/>
      <c r="CT54" s="274"/>
      <c r="CU54" s="274"/>
      <c r="CV54" s="273"/>
      <c r="CW54" s="93"/>
      <c r="CX54" s="274"/>
      <c r="CY54" s="274"/>
      <c r="CZ54" s="273"/>
      <c r="DA54" s="93"/>
      <c r="DB54" s="274"/>
      <c r="DC54" s="274"/>
      <c r="DD54" s="273"/>
      <c r="DE54" s="93"/>
    </row>
    <row r="55" spans="1:109" ht="12.75">
      <c r="A55" s="253">
        <v>42</v>
      </c>
      <c r="B55" s="265" t="s">
        <v>484</v>
      </c>
      <c r="C55" s="193" t="s">
        <v>481</v>
      </c>
      <c r="D55" s="193" t="s">
        <v>482</v>
      </c>
      <c r="F55" s="548"/>
      <c r="G55" s="255">
        <f t="shared" si="1"/>
        <v>2550.0373478908155</v>
      </c>
      <c r="H55" s="256">
        <f t="shared" si="2"/>
        <v>2550.0373478908155</v>
      </c>
      <c r="I55" s="257">
        <v>3</v>
      </c>
      <c r="J55" s="280"/>
      <c r="K55" s="274"/>
      <c r="L55" s="281"/>
      <c r="M55" s="93"/>
      <c r="N55" s="274"/>
      <c r="O55" s="274"/>
      <c r="P55" s="281"/>
      <c r="Q55" s="93"/>
      <c r="R55" s="274"/>
      <c r="S55" s="274"/>
      <c r="T55" s="281"/>
      <c r="U55" s="93"/>
      <c r="V55" s="277"/>
      <c r="W55" s="277"/>
      <c r="X55" s="276"/>
      <c r="Y55" s="93"/>
      <c r="Z55" s="274" t="s">
        <v>493</v>
      </c>
      <c r="AA55" s="274" t="s">
        <v>3</v>
      </c>
      <c r="AB55" s="188">
        <v>0.01851851851851852</v>
      </c>
      <c r="AC55" s="36">
        <v>650.4745470232956</v>
      </c>
      <c r="AD55" s="274" t="s">
        <v>493</v>
      </c>
      <c r="AE55" s="274" t="s">
        <v>3</v>
      </c>
      <c r="AF55" s="188">
        <v>0.0648611111111111</v>
      </c>
      <c r="AG55" s="36">
        <v>868.7382297551788</v>
      </c>
      <c r="AH55" s="274" t="s">
        <v>493</v>
      </c>
      <c r="AI55" s="274" t="s">
        <v>3</v>
      </c>
      <c r="AJ55" s="188">
        <v>0.04259259259259259</v>
      </c>
      <c r="AK55" s="36">
        <v>1030.824571112341</v>
      </c>
      <c r="AL55" s="274"/>
      <c r="AM55" s="274"/>
      <c r="AN55" s="282"/>
      <c r="AO55" s="93"/>
      <c r="AP55" s="274"/>
      <c r="AQ55" s="274"/>
      <c r="AR55" s="273"/>
      <c r="AS55" s="93"/>
      <c r="AT55" s="274"/>
      <c r="AU55" s="274"/>
      <c r="AV55" s="273"/>
      <c r="AW55" s="93"/>
      <c r="AX55" s="274"/>
      <c r="AY55" s="274"/>
      <c r="AZ55" s="275"/>
      <c r="BA55" s="93"/>
      <c r="BB55" s="274"/>
      <c r="BC55" s="274"/>
      <c r="BD55" s="273"/>
      <c r="BE55" s="93"/>
      <c r="BF55" s="274"/>
      <c r="BG55" s="274"/>
      <c r="BH55" s="281"/>
      <c r="BI55" s="284"/>
      <c r="BJ55" s="277"/>
      <c r="BK55" s="277"/>
      <c r="BL55" s="188"/>
      <c r="BM55" s="93"/>
      <c r="BN55" s="274"/>
      <c r="BO55" s="274"/>
      <c r="BP55" s="273"/>
      <c r="BQ55" s="93"/>
      <c r="BR55" s="274"/>
      <c r="BS55" s="274"/>
      <c r="BT55" s="273"/>
      <c r="BU55" s="93"/>
      <c r="BV55" s="274"/>
      <c r="BW55" s="274"/>
      <c r="BX55" s="273"/>
      <c r="BY55" s="93"/>
      <c r="BZ55" s="274"/>
      <c r="CA55" s="274"/>
      <c r="CB55" s="273"/>
      <c r="CC55" s="93"/>
      <c r="CD55" s="274"/>
      <c r="CE55" s="274"/>
      <c r="CF55" s="273"/>
      <c r="CG55" s="93"/>
      <c r="CH55" s="274"/>
      <c r="CI55" s="274"/>
      <c r="CJ55" s="273"/>
      <c r="CK55" s="93"/>
      <c r="CL55" s="274"/>
      <c r="CM55" s="274"/>
      <c r="CN55" s="273"/>
      <c r="CO55" s="93"/>
      <c r="CP55" s="274"/>
      <c r="CQ55" s="274"/>
      <c r="CR55" s="273"/>
      <c r="CS55" s="93"/>
      <c r="CT55" s="274"/>
      <c r="CU55" s="274"/>
      <c r="CV55" s="273"/>
      <c r="CW55" s="93"/>
      <c r="CX55" s="274"/>
      <c r="CY55" s="274"/>
      <c r="CZ55" s="273"/>
      <c r="DA55" s="93"/>
      <c r="DB55" s="274"/>
      <c r="DC55" s="274"/>
      <c r="DD55" s="273"/>
      <c r="DE55" s="93"/>
    </row>
    <row r="56" spans="1:109" ht="12.75">
      <c r="A56" s="253">
        <v>43</v>
      </c>
      <c r="B56" s="265" t="s">
        <v>596</v>
      </c>
      <c r="C56" s="193" t="s">
        <v>470</v>
      </c>
      <c r="D56" s="193" t="s">
        <v>471</v>
      </c>
      <c r="F56" s="190"/>
      <c r="G56" s="255">
        <f t="shared" si="1"/>
        <v>2502.2261591594183</v>
      </c>
      <c r="H56" s="256">
        <f t="shared" si="2"/>
        <v>2502.2261591594183</v>
      </c>
      <c r="I56" s="257">
        <v>3</v>
      </c>
      <c r="J56" s="289"/>
      <c r="K56" s="277"/>
      <c r="L56" s="276"/>
      <c r="M56" s="35"/>
      <c r="N56" s="277"/>
      <c r="O56" s="277"/>
      <c r="P56" s="276"/>
      <c r="Q56" s="35"/>
      <c r="R56" s="277"/>
      <c r="S56" s="277"/>
      <c r="T56" s="278"/>
      <c r="U56" s="36"/>
      <c r="V56" s="277"/>
      <c r="W56" s="277"/>
      <c r="X56" s="276"/>
      <c r="Y56" s="290"/>
      <c r="Z56" s="277" t="s">
        <v>584</v>
      </c>
      <c r="AA56" s="188" t="s">
        <v>4</v>
      </c>
      <c r="AB56" s="188">
        <v>0.014756944444444446</v>
      </c>
      <c r="AC56" s="93">
        <v>727.4372676579925</v>
      </c>
      <c r="AD56" s="277" t="s">
        <v>584</v>
      </c>
      <c r="AE56" s="188" t="s">
        <v>4</v>
      </c>
      <c r="AF56" s="188">
        <v>0.0658912037037037</v>
      </c>
      <c r="AG56" s="93">
        <v>886.6615099009902</v>
      </c>
      <c r="AH56" s="277" t="s">
        <v>584</v>
      </c>
      <c r="AI56" s="188" t="s">
        <v>4</v>
      </c>
      <c r="AJ56" s="188">
        <v>0.04273148148148148</v>
      </c>
      <c r="AK56" s="93">
        <v>888.1273816004356</v>
      </c>
      <c r="AL56" s="274"/>
      <c r="AM56" s="274"/>
      <c r="AN56" s="273"/>
      <c r="AO56" s="93"/>
      <c r="AP56" s="274"/>
      <c r="AQ56" s="274"/>
      <c r="AR56" s="273"/>
      <c r="AS56" s="93"/>
      <c r="AT56" s="274"/>
      <c r="AU56" s="274"/>
      <c r="AV56" s="273"/>
      <c r="AW56" s="93"/>
      <c r="AX56" s="274"/>
      <c r="AY56" s="274"/>
      <c r="AZ56" s="275"/>
      <c r="BA56" s="93"/>
      <c r="BB56" s="274"/>
      <c r="BC56" s="274"/>
      <c r="BD56" s="275"/>
      <c r="BE56" s="93"/>
      <c r="BF56" s="274"/>
      <c r="BG56" s="274"/>
      <c r="BH56" s="273"/>
      <c r="BI56" s="93"/>
      <c r="BJ56" s="274"/>
      <c r="BK56" s="274"/>
      <c r="BL56" s="273"/>
      <c r="BM56" s="93"/>
      <c r="BN56" s="274"/>
      <c r="BO56" s="274"/>
      <c r="BP56" s="275"/>
      <c r="BQ56" s="93"/>
      <c r="BR56" s="274"/>
      <c r="BS56" s="274"/>
      <c r="BT56" s="275"/>
      <c r="BU56" s="93"/>
      <c r="BV56" s="274"/>
      <c r="BW56" s="274"/>
      <c r="BX56" s="275"/>
      <c r="BY56" s="93"/>
      <c r="BZ56" s="274"/>
      <c r="CA56" s="274"/>
      <c r="CB56" s="275"/>
      <c r="CC56" s="93"/>
      <c r="CD56" s="274"/>
      <c r="CE56" s="274"/>
      <c r="CF56" s="273"/>
      <c r="CG56" s="93"/>
      <c r="CH56" s="274"/>
      <c r="CI56" s="274"/>
      <c r="CJ56" s="273"/>
      <c r="CK56" s="93"/>
      <c r="CL56" s="274"/>
      <c r="CM56" s="274"/>
      <c r="CN56" s="273"/>
      <c r="CO56" s="93"/>
      <c r="CP56" s="274"/>
      <c r="CQ56" s="274"/>
      <c r="CR56" s="273"/>
      <c r="CS56" s="93"/>
      <c r="CT56" s="274"/>
      <c r="CU56" s="274"/>
      <c r="CV56" s="273"/>
      <c r="CW56" s="93"/>
      <c r="CX56" s="274"/>
      <c r="CY56" s="274"/>
      <c r="CZ56" s="273"/>
      <c r="DA56" s="93"/>
      <c r="DB56" s="274"/>
      <c r="DC56" s="274"/>
      <c r="DD56" s="273"/>
      <c r="DE56" s="93"/>
    </row>
    <row r="57" spans="1:109" ht="12.75">
      <c r="A57" s="253">
        <v>44</v>
      </c>
      <c r="B57" s="265" t="s">
        <v>599</v>
      </c>
      <c r="C57" s="193" t="s">
        <v>473</v>
      </c>
      <c r="D57" s="193" t="s">
        <v>474</v>
      </c>
      <c r="F57" s="190"/>
      <c r="G57" s="255">
        <f t="shared" si="1"/>
        <v>2440.8528336806257</v>
      </c>
      <c r="H57" s="256">
        <f t="shared" si="2"/>
        <v>2440.8528336806257</v>
      </c>
      <c r="I57" s="257">
        <v>3</v>
      </c>
      <c r="J57" s="289"/>
      <c r="K57" s="277"/>
      <c r="L57" s="276"/>
      <c r="M57" s="35"/>
      <c r="N57" s="277"/>
      <c r="O57" s="277"/>
      <c r="P57" s="276"/>
      <c r="Q57" s="35"/>
      <c r="R57" s="277"/>
      <c r="S57" s="277"/>
      <c r="T57" s="278"/>
      <c r="U57" s="36"/>
      <c r="V57" s="277"/>
      <c r="W57" s="277"/>
      <c r="X57" s="276"/>
      <c r="Y57" s="290"/>
      <c r="Z57" s="277" t="s">
        <v>584</v>
      </c>
      <c r="AA57" s="188" t="s">
        <v>4</v>
      </c>
      <c r="AB57" s="188">
        <v>0.012499999999999999</v>
      </c>
      <c r="AC57" s="93">
        <v>889.1821561338292</v>
      </c>
      <c r="AD57" s="277" t="s">
        <v>584</v>
      </c>
      <c r="AE57" s="188" t="s">
        <v>4</v>
      </c>
      <c r="AF57" s="188">
        <v>0.07347222222222222</v>
      </c>
      <c r="AG57" s="93">
        <v>783.3044554455447</v>
      </c>
      <c r="AH57" s="277" t="s">
        <v>584</v>
      </c>
      <c r="AI57" s="188" t="s">
        <v>4</v>
      </c>
      <c r="AJ57" s="188">
        <v>0.0484375</v>
      </c>
      <c r="AK57" s="93">
        <v>768.366222101252</v>
      </c>
      <c r="AL57" s="274"/>
      <c r="AM57" s="274"/>
      <c r="AN57" s="273"/>
      <c r="AO57" s="93"/>
      <c r="AP57" s="274"/>
      <c r="AQ57" s="274"/>
      <c r="AR57" s="281"/>
      <c r="AS57" s="93"/>
      <c r="AT57" s="274"/>
      <c r="AU57" s="274"/>
      <c r="AV57" s="273"/>
      <c r="AW57" s="93"/>
      <c r="AX57" s="274"/>
      <c r="AY57" s="274"/>
      <c r="AZ57" s="275"/>
      <c r="BA57" s="93"/>
      <c r="BB57" s="274"/>
      <c r="BC57" s="274"/>
      <c r="BD57" s="275"/>
      <c r="BE57" s="93"/>
      <c r="BF57" s="274"/>
      <c r="BG57" s="274"/>
      <c r="BH57" s="273"/>
      <c r="BI57" s="93"/>
      <c r="BJ57" s="274"/>
      <c r="BK57" s="274"/>
      <c r="BL57" s="273"/>
      <c r="BM57" s="93"/>
      <c r="BN57" s="274"/>
      <c r="BO57" s="274"/>
      <c r="BP57" s="281"/>
      <c r="BQ57" s="93"/>
      <c r="BR57" s="274"/>
      <c r="BS57" s="274"/>
      <c r="BT57" s="281"/>
      <c r="BU57" s="93"/>
      <c r="BV57" s="274"/>
      <c r="BW57" s="274"/>
      <c r="BX57" s="275"/>
      <c r="BY57" s="93"/>
      <c r="BZ57" s="274"/>
      <c r="CA57" s="274"/>
      <c r="CB57" s="275"/>
      <c r="CC57" s="93"/>
      <c r="CD57" s="274"/>
      <c r="CE57" s="274"/>
      <c r="CF57" s="273"/>
      <c r="CG57" s="93"/>
      <c r="CH57" s="274"/>
      <c r="CI57" s="274"/>
      <c r="CJ57" s="273"/>
      <c r="CK57" s="93"/>
      <c r="CL57" s="274"/>
      <c r="CM57" s="274"/>
      <c r="CN57" s="273"/>
      <c r="CO57" s="93"/>
      <c r="CP57" s="274"/>
      <c r="CQ57" s="274"/>
      <c r="CR57" s="273"/>
      <c r="CS57" s="93"/>
      <c r="CT57" s="274"/>
      <c r="CU57" s="274"/>
      <c r="CV57" s="273"/>
      <c r="CW57" s="93"/>
      <c r="CX57" s="274"/>
      <c r="CY57" s="274"/>
      <c r="CZ57" s="273"/>
      <c r="DA57" s="93"/>
      <c r="DB57" s="274"/>
      <c r="DC57" s="274"/>
      <c r="DD57" s="273"/>
      <c r="DE57" s="93"/>
    </row>
    <row r="58" spans="1:109" ht="12.75">
      <c r="A58" s="253">
        <v>45</v>
      </c>
      <c r="B58" s="265" t="s">
        <v>597</v>
      </c>
      <c r="C58" s="193" t="s">
        <v>473</v>
      </c>
      <c r="D58" s="193" t="s">
        <v>474</v>
      </c>
      <c r="F58" s="190"/>
      <c r="G58" s="255">
        <f t="shared" si="1"/>
        <v>2417.848445789418</v>
      </c>
      <c r="H58" s="256">
        <f t="shared" si="2"/>
        <v>2417.848445789418</v>
      </c>
      <c r="I58" s="257">
        <v>3</v>
      </c>
      <c r="J58" s="289"/>
      <c r="K58" s="277"/>
      <c r="L58" s="276"/>
      <c r="M58" s="35"/>
      <c r="N58" s="277"/>
      <c r="O58" s="277"/>
      <c r="P58" s="276"/>
      <c r="Q58" s="35"/>
      <c r="R58" s="277"/>
      <c r="S58" s="277"/>
      <c r="T58" s="278"/>
      <c r="U58" s="36"/>
      <c r="V58" s="277"/>
      <c r="W58" s="277"/>
      <c r="X58" s="276"/>
      <c r="Y58" s="290"/>
      <c r="Z58" s="277" t="s">
        <v>584</v>
      </c>
      <c r="AA58" s="188" t="s">
        <v>4</v>
      </c>
      <c r="AB58" s="188">
        <v>0.013101851851851852</v>
      </c>
      <c r="AC58" s="93">
        <v>846.0501858736059</v>
      </c>
      <c r="AD58" s="277" t="s">
        <v>584</v>
      </c>
      <c r="AE58" s="188" t="s">
        <v>4</v>
      </c>
      <c r="AF58" s="188">
        <v>0.06953703703703704</v>
      </c>
      <c r="AG58" s="93">
        <v>836.9554455445544</v>
      </c>
      <c r="AH58" s="277" t="s">
        <v>584</v>
      </c>
      <c r="AI58" s="188" t="s">
        <v>4</v>
      </c>
      <c r="AJ58" s="188">
        <v>0.050034722222222223</v>
      </c>
      <c r="AK58" s="93">
        <v>734.8428143712576</v>
      </c>
      <c r="AL58" s="274"/>
      <c r="AM58" s="274"/>
      <c r="AN58" s="273"/>
      <c r="AO58" s="93"/>
      <c r="AP58" s="274"/>
      <c r="AQ58" s="274"/>
      <c r="AR58" s="273"/>
      <c r="AS58" s="93"/>
      <c r="AT58" s="274"/>
      <c r="AU58" s="274"/>
      <c r="AV58" s="273"/>
      <c r="AW58" s="93"/>
      <c r="AX58" s="274"/>
      <c r="AY58" s="274"/>
      <c r="AZ58" s="275"/>
      <c r="BA58" s="93"/>
      <c r="BB58" s="274"/>
      <c r="BC58" s="274"/>
      <c r="BD58" s="273"/>
      <c r="BE58" s="93"/>
      <c r="BF58" s="274"/>
      <c r="BG58" s="274"/>
      <c r="BH58" s="273"/>
      <c r="BI58" s="93"/>
      <c r="BJ58" s="274"/>
      <c r="BK58" s="274"/>
      <c r="BL58" s="281"/>
      <c r="BM58" s="93"/>
      <c r="BN58" s="274"/>
      <c r="BO58" s="274"/>
      <c r="BP58" s="273"/>
      <c r="BQ58" s="93"/>
      <c r="BR58" s="274"/>
      <c r="BS58" s="274"/>
      <c r="BT58" s="273"/>
      <c r="BU58" s="93"/>
      <c r="BV58" s="274"/>
      <c r="BW58" s="274"/>
      <c r="BX58" s="275"/>
      <c r="BY58" s="93"/>
      <c r="BZ58" s="274"/>
      <c r="CA58" s="274"/>
      <c r="CB58" s="275"/>
      <c r="CC58" s="93"/>
      <c r="CD58" s="274"/>
      <c r="CE58" s="274"/>
      <c r="CF58" s="273"/>
      <c r="CG58" s="93"/>
      <c r="CH58" s="274"/>
      <c r="CI58" s="274"/>
      <c r="CJ58" s="273"/>
      <c r="CK58" s="93"/>
      <c r="CL58" s="274"/>
      <c r="CM58" s="274"/>
      <c r="CN58" s="273"/>
      <c r="CO58" s="93"/>
      <c r="CP58" s="274"/>
      <c r="CQ58" s="274"/>
      <c r="CR58" s="273"/>
      <c r="CS58" s="93"/>
      <c r="CT58" s="274"/>
      <c r="CU58" s="274"/>
      <c r="CV58" s="273"/>
      <c r="CW58" s="93"/>
      <c r="CX58" s="274"/>
      <c r="CY58" s="274"/>
      <c r="CZ58" s="273"/>
      <c r="DA58" s="93"/>
      <c r="DB58" s="274"/>
      <c r="DC58" s="274"/>
      <c r="DD58" s="273"/>
      <c r="DE58" s="93"/>
    </row>
    <row r="59" spans="1:109" ht="12.75">
      <c r="A59" s="253">
        <v>46</v>
      </c>
      <c r="B59" s="265" t="s">
        <v>598</v>
      </c>
      <c r="C59" s="193" t="s">
        <v>473</v>
      </c>
      <c r="D59" s="193" t="s">
        <v>474</v>
      </c>
      <c r="F59" s="190"/>
      <c r="G59" s="255">
        <f t="shared" si="1"/>
        <v>2393.0403451764437</v>
      </c>
      <c r="H59" s="256">
        <f t="shared" si="2"/>
        <v>2393.0403451764437</v>
      </c>
      <c r="I59" s="257">
        <v>3</v>
      </c>
      <c r="J59" s="289"/>
      <c r="K59" s="277"/>
      <c r="L59" s="276"/>
      <c r="M59" s="35"/>
      <c r="N59" s="277"/>
      <c r="O59" s="277"/>
      <c r="P59" s="276"/>
      <c r="Q59" s="35"/>
      <c r="R59" s="277"/>
      <c r="S59" s="277"/>
      <c r="T59" s="278"/>
      <c r="U59" s="36"/>
      <c r="V59" s="277"/>
      <c r="W59" s="277"/>
      <c r="X59" s="276"/>
      <c r="Y59" s="290"/>
      <c r="Z59" s="277" t="s">
        <v>584</v>
      </c>
      <c r="AA59" s="188" t="s">
        <v>4</v>
      </c>
      <c r="AB59" s="188">
        <v>0.013530092592592594</v>
      </c>
      <c r="AC59" s="93">
        <v>815.360130111524</v>
      </c>
      <c r="AD59" s="277" t="s">
        <v>584</v>
      </c>
      <c r="AE59" s="188" t="s">
        <v>4</v>
      </c>
      <c r="AF59" s="188">
        <v>0.07126157407407407</v>
      </c>
      <c r="AG59" s="93">
        <v>813.4436881188118</v>
      </c>
      <c r="AH59" s="277" t="s">
        <v>584</v>
      </c>
      <c r="AI59" s="188" t="s">
        <v>4</v>
      </c>
      <c r="AJ59" s="188">
        <v>0.04863425925925926</v>
      </c>
      <c r="AK59" s="93">
        <v>764.2365269461078</v>
      </c>
      <c r="AL59" s="274"/>
      <c r="AM59" s="274"/>
      <c r="AN59" s="275"/>
      <c r="AO59" s="93"/>
      <c r="AP59" s="274"/>
      <c r="AQ59" s="274"/>
      <c r="AR59" s="275"/>
      <c r="AS59" s="93"/>
      <c r="AT59" s="274"/>
      <c r="AU59" s="274"/>
      <c r="AV59" s="273"/>
      <c r="AW59" s="93"/>
      <c r="AX59" s="274"/>
      <c r="AY59" s="274"/>
      <c r="AZ59" s="275"/>
      <c r="BA59" s="93"/>
      <c r="BB59" s="274"/>
      <c r="BC59" s="274"/>
      <c r="BD59" s="275"/>
      <c r="BE59" s="93"/>
      <c r="BF59" s="274"/>
      <c r="BG59" s="274"/>
      <c r="BH59" s="273"/>
      <c r="BI59" s="93"/>
      <c r="BJ59" s="274"/>
      <c r="BK59" s="274"/>
      <c r="BL59" s="275"/>
      <c r="BM59" s="93"/>
      <c r="BN59" s="274"/>
      <c r="BO59" s="274"/>
      <c r="BP59" s="275"/>
      <c r="BQ59" s="93"/>
      <c r="BR59" s="274"/>
      <c r="BS59" s="274"/>
      <c r="BT59" s="275"/>
      <c r="BU59" s="93"/>
      <c r="BV59" s="274"/>
      <c r="BW59" s="274"/>
      <c r="BX59" s="273"/>
      <c r="BY59" s="93"/>
      <c r="BZ59" s="274"/>
      <c r="CA59" s="274"/>
      <c r="CB59" s="273"/>
      <c r="CC59" s="93"/>
      <c r="CD59" s="274"/>
      <c r="CE59" s="274"/>
      <c r="CF59" s="273"/>
      <c r="CG59" s="93"/>
      <c r="CH59" s="274"/>
      <c r="CI59" s="274"/>
      <c r="CJ59" s="273"/>
      <c r="CK59" s="93"/>
      <c r="CL59" s="274"/>
      <c r="CM59" s="274"/>
      <c r="CN59" s="273"/>
      <c r="CO59" s="93"/>
      <c r="CP59" s="274"/>
      <c r="CQ59" s="274"/>
      <c r="CR59" s="273"/>
      <c r="CS59" s="93"/>
      <c r="CT59" s="274"/>
      <c r="CU59" s="274"/>
      <c r="CV59" s="273"/>
      <c r="CW59" s="93"/>
      <c r="CX59" s="274"/>
      <c r="CY59" s="274"/>
      <c r="CZ59" s="273"/>
      <c r="DA59" s="93"/>
      <c r="DB59" s="274"/>
      <c r="DC59" s="274"/>
      <c r="DD59" s="273"/>
      <c r="DE59" s="93"/>
    </row>
    <row r="60" spans="1:109" ht="12.75">
      <c r="A60" s="253">
        <v>47</v>
      </c>
      <c r="B60" s="259" t="s">
        <v>594</v>
      </c>
      <c r="C60" s="193" t="s">
        <v>537</v>
      </c>
      <c r="D60" s="193" t="s">
        <v>538</v>
      </c>
      <c r="F60" s="548"/>
      <c r="G60" s="255">
        <f t="shared" si="1"/>
        <v>2366.4558369125016</v>
      </c>
      <c r="H60" s="256">
        <f t="shared" si="2"/>
        <v>2366.4558369125016</v>
      </c>
      <c r="I60" s="257">
        <v>3</v>
      </c>
      <c r="J60" s="289"/>
      <c r="K60" s="277"/>
      <c r="L60" s="276"/>
      <c r="M60" s="35"/>
      <c r="N60" s="277"/>
      <c r="O60" s="277"/>
      <c r="P60" s="276"/>
      <c r="Q60" s="35"/>
      <c r="R60" s="277"/>
      <c r="S60" s="277"/>
      <c r="T60" s="278"/>
      <c r="U60" s="36"/>
      <c r="V60" s="277"/>
      <c r="W60" s="277"/>
      <c r="X60" s="276"/>
      <c r="Y60" s="290"/>
      <c r="Z60" s="274" t="s">
        <v>592</v>
      </c>
      <c r="AA60" s="274" t="s">
        <v>159</v>
      </c>
      <c r="AB60" s="275">
        <v>0.01733796296296296</v>
      </c>
      <c r="AC60" s="93">
        <v>791.35593220339</v>
      </c>
      <c r="AD60" s="274" t="s">
        <v>592</v>
      </c>
      <c r="AE60" s="274" t="s">
        <v>159</v>
      </c>
      <c r="AF60" s="275">
        <v>0.04750000000000001</v>
      </c>
      <c r="AG60" s="93">
        <v>773.038674033149</v>
      </c>
      <c r="AH60" s="274" t="s">
        <v>592</v>
      </c>
      <c r="AI60" s="274" t="s">
        <v>159</v>
      </c>
      <c r="AJ60" s="275">
        <v>0.03990740740740741</v>
      </c>
      <c r="AK60" s="93">
        <v>802.0612306759625</v>
      </c>
      <c r="AL60" s="274"/>
      <c r="AM60" s="274"/>
      <c r="AN60" s="282"/>
      <c r="AO60" s="93"/>
      <c r="AP60" s="274"/>
      <c r="AQ60" s="274"/>
      <c r="AR60" s="281"/>
      <c r="AS60" s="93"/>
      <c r="AT60" s="274"/>
      <c r="AU60" s="274"/>
      <c r="AV60" s="273"/>
      <c r="AW60" s="93"/>
      <c r="AX60" s="274"/>
      <c r="AY60" s="274"/>
      <c r="AZ60" s="275"/>
      <c r="BA60" s="93"/>
      <c r="BB60" s="274"/>
      <c r="BC60" s="274"/>
      <c r="BD60" s="275"/>
      <c r="BE60" s="93"/>
      <c r="BF60" s="274"/>
      <c r="BG60" s="274"/>
      <c r="BH60" s="273"/>
      <c r="BI60" s="93"/>
      <c r="BJ60" s="277"/>
      <c r="BK60" s="277"/>
      <c r="BL60" s="188"/>
      <c r="BM60" s="93"/>
      <c r="BN60" s="274"/>
      <c r="BO60" s="274"/>
      <c r="BP60" s="273"/>
      <c r="BQ60" s="93"/>
      <c r="BR60" s="274"/>
      <c r="BS60" s="274"/>
      <c r="BT60" s="273"/>
      <c r="BU60" s="93"/>
      <c r="BV60" s="274"/>
      <c r="BW60" s="274"/>
      <c r="BX60" s="273"/>
      <c r="BY60" s="93"/>
      <c r="BZ60" s="274"/>
      <c r="CA60" s="274"/>
      <c r="CB60" s="273"/>
      <c r="CC60" s="93"/>
      <c r="CD60" s="274"/>
      <c r="CE60" s="274"/>
      <c r="CF60" s="273"/>
      <c r="CG60" s="93"/>
      <c r="CH60" s="274"/>
      <c r="CI60" s="274"/>
      <c r="CJ60" s="273"/>
      <c r="CK60" s="93"/>
      <c r="CL60" s="274"/>
      <c r="CM60" s="274"/>
      <c r="CN60" s="273"/>
      <c r="CO60" s="93"/>
      <c r="CP60" s="274"/>
      <c r="CQ60" s="274"/>
      <c r="CR60" s="273"/>
      <c r="CS60" s="93"/>
      <c r="CT60" s="274"/>
      <c r="CU60" s="274"/>
      <c r="CV60" s="273"/>
      <c r="CW60" s="93"/>
      <c r="CX60" s="274"/>
      <c r="CY60" s="274"/>
      <c r="CZ60" s="273"/>
      <c r="DA60" s="93"/>
      <c r="DB60" s="274"/>
      <c r="DC60" s="274"/>
      <c r="DD60" s="273"/>
      <c r="DE60" s="93"/>
    </row>
    <row r="61" spans="1:109" ht="12.75">
      <c r="A61" s="253">
        <v>48</v>
      </c>
      <c r="B61" s="265" t="s">
        <v>761</v>
      </c>
      <c r="C61" s="193" t="s">
        <v>187</v>
      </c>
      <c r="D61" s="193" t="s">
        <v>788</v>
      </c>
      <c r="F61" s="190">
        <v>1974</v>
      </c>
      <c r="G61" s="255">
        <f t="shared" si="1"/>
        <v>2295.5705090907</v>
      </c>
      <c r="H61" s="256">
        <f t="shared" si="2"/>
        <v>2295.5705090907</v>
      </c>
      <c r="I61" s="257">
        <v>4</v>
      </c>
      <c r="J61" s="289"/>
      <c r="K61" s="277"/>
      <c r="L61" s="276"/>
      <c r="M61" s="35"/>
      <c r="N61" s="277"/>
      <c r="O61" s="277"/>
      <c r="P61" s="276"/>
      <c r="Q61" s="35"/>
      <c r="R61" s="277"/>
      <c r="S61" s="277"/>
      <c r="T61" s="278"/>
      <c r="U61" s="36"/>
      <c r="V61" s="277"/>
      <c r="W61" s="277"/>
      <c r="X61" s="276"/>
      <c r="Y61" s="290"/>
      <c r="Z61" s="274"/>
      <c r="AA61" s="274"/>
      <c r="AB61" s="275"/>
      <c r="AC61" s="93"/>
      <c r="AD61" s="274"/>
      <c r="AE61" s="274"/>
      <c r="AF61" s="275"/>
      <c r="AG61" s="93"/>
      <c r="AH61" s="274"/>
      <c r="AI61" s="274"/>
      <c r="AJ61" s="275"/>
      <c r="AK61" s="35"/>
      <c r="AL61" s="277"/>
      <c r="AM61" s="277"/>
      <c r="AN61" s="188"/>
      <c r="AO61" s="36"/>
      <c r="AP61" s="277"/>
      <c r="AQ61" s="277"/>
      <c r="AR61" s="188"/>
      <c r="AS61" s="36"/>
      <c r="AT61" s="277"/>
      <c r="AU61" s="277"/>
      <c r="AV61" s="188"/>
      <c r="AW61" s="36"/>
      <c r="AX61" s="277"/>
      <c r="AY61" s="277"/>
      <c r="AZ61" s="188"/>
      <c r="BA61" s="36"/>
      <c r="BB61" s="277"/>
      <c r="BC61" s="277"/>
      <c r="BD61" s="188"/>
      <c r="BE61" s="36"/>
      <c r="BF61" s="277" t="s">
        <v>759</v>
      </c>
      <c r="BG61" s="277" t="s">
        <v>3</v>
      </c>
      <c r="BH61" s="188">
        <v>0.03684027777777778</v>
      </c>
      <c r="BI61" s="93">
        <v>717.0495767835552</v>
      </c>
      <c r="BJ61" s="277" t="s">
        <v>759</v>
      </c>
      <c r="BK61" s="277" t="s">
        <v>3</v>
      </c>
      <c r="BL61" s="188">
        <v>0.018425925925925925</v>
      </c>
      <c r="BM61" s="93">
        <v>377.16615698267077</v>
      </c>
      <c r="BN61" s="277" t="s">
        <v>759</v>
      </c>
      <c r="BO61" s="277" t="s">
        <v>3</v>
      </c>
      <c r="BP61" s="188">
        <v>0.06530092592592592</v>
      </c>
      <c r="BQ61" s="93">
        <v>692.7710843373495</v>
      </c>
      <c r="BR61" s="277" t="s">
        <v>759</v>
      </c>
      <c r="BS61" s="277" t="s">
        <v>3</v>
      </c>
      <c r="BT61" s="188">
        <v>0.048263888888888884</v>
      </c>
      <c r="BU61" s="93">
        <v>508.5836909871246</v>
      </c>
      <c r="BV61" s="277"/>
      <c r="BW61" s="277"/>
      <c r="BX61" s="188"/>
      <c r="BY61" s="36"/>
      <c r="BZ61" s="277"/>
      <c r="CA61" s="277"/>
      <c r="CB61" s="188"/>
      <c r="CC61" s="36"/>
      <c r="CD61" s="274"/>
      <c r="CE61" s="274"/>
      <c r="CF61" s="273"/>
      <c r="CG61" s="93"/>
      <c r="CH61" s="274"/>
      <c r="CI61" s="274"/>
      <c r="CJ61" s="273"/>
      <c r="CK61" s="93"/>
      <c r="CL61" s="274"/>
      <c r="CM61" s="274"/>
      <c r="CN61" s="273"/>
      <c r="CO61" s="93"/>
      <c r="CP61" s="274"/>
      <c r="CQ61" s="274"/>
      <c r="CR61" s="273"/>
      <c r="CS61" s="93"/>
      <c r="CT61" s="274"/>
      <c r="CU61" s="274"/>
      <c r="CV61" s="273"/>
      <c r="CW61" s="93"/>
      <c r="CX61" s="274"/>
      <c r="CY61" s="274"/>
      <c r="CZ61" s="273"/>
      <c r="DA61" s="93"/>
      <c r="DB61" s="274"/>
      <c r="DC61" s="274"/>
      <c r="DD61" s="273"/>
      <c r="DE61" s="93"/>
    </row>
    <row r="62" spans="1:109" ht="12.75">
      <c r="A62" s="253">
        <v>49</v>
      </c>
      <c r="B62" s="265" t="s">
        <v>758</v>
      </c>
      <c r="C62" s="193" t="s">
        <v>10</v>
      </c>
      <c r="D62" s="193" t="s">
        <v>787</v>
      </c>
      <c r="F62" s="190">
        <v>1995</v>
      </c>
      <c r="G62" s="255">
        <f t="shared" si="1"/>
        <v>2212.3452294681106</v>
      </c>
      <c r="H62" s="256">
        <f t="shared" si="2"/>
        <v>2212.3452294681106</v>
      </c>
      <c r="I62" s="257">
        <v>4</v>
      </c>
      <c r="J62" s="289"/>
      <c r="K62" s="277"/>
      <c r="L62" s="276"/>
      <c r="M62" s="35"/>
      <c r="N62" s="277"/>
      <c r="O62" s="277"/>
      <c r="P62" s="276"/>
      <c r="Q62" s="35"/>
      <c r="R62" s="277"/>
      <c r="S62" s="277"/>
      <c r="T62" s="278"/>
      <c r="U62" s="36"/>
      <c r="V62" s="277"/>
      <c r="W62" s="277"/>
      <c r="X62" s="276"/>
      <c r="Y62" s="290"/>
      <c r="Z62" s="274"/>
      <c r="AA62" s="274"/>
      <c r="AB62" s="275"/>
      <c r="AC62" s="93"/>
      <c r="AD62" s="274"/>
      <c r="AE62" s="274"/>
      <c r="AF62" s="275"/>
      <c r="AG62" s="93"/>
      <c r="AH62" s="274"/>
      <c r="AI62" s="274"/>
      <c r="AJ62" s="275"/>
      <c r="AK62" s="35"/>
      <c r="AL62" s="277"/>
      <c r="AM62" s="277"/>
      <c r="AN62" s="188"/>
      <c r="AO62" s="36"/>
      <c r="AP62" s="277"/>
      <c r="AQ62" s="277"/>
      <c r="AR62" s="188"/>
      <c r="AS62" s="36"/>
      <c r="AT62" s="277"/>
      <c r="AU62" s="277"/>
      <c r="AV62" s="188"/>
      <c r="AW62" s="36"/>
      <c r="AX62" s="277"/>
      <c r="AY62" s="277"/>
      <c r="AZ62" s="188"/>
      <c r="BA62" s="36"/>
      <c r="BB62" s="277"/>
      <c r="BC62" s="277"/>
      <c r="BD62" s="188"/>
      <c r="BE62" s="36"/>
      <c r="BF62" s="277" t="s">
        <v>754</v>
      </c>
      <c r="BG62" s="277" t="s">
        <v>4</v>
      </c>
      <c r="BH62" s="188">
        <v>0.035625</v>
      </c>
      <c r="BI62" s="93">
        <v>516.1971830985916</v>
      </c>
      <c r="BJ62" s="277" t="s">
        <v>754</v>
      </c>
      <c r="BK62" s="277" t="s">
        <v>4</v>
      </c>
      <c r="BL62" s="188">
        <v>0.012118055555555556</v>
      </c>
      <c r="BM62" s="93">
        <v>698.3853606027986</v>
      </c>
      <c r="BN62" s="277" t="s">
        <v>754</v>
      </c>
      <c r="BO62" s="277" t="s">
        <v>4</v>
      </c>
      <c r="BP62" s="188">
        <v>0.056215277777777774</v>
      </c>
      <c r="BQ62" s="93">
        <v>505.7730216840328</v>
      </c>
      <c r="BR62" s="277" t="s">
        <v>754</v>
      </c>
      <c r="BS62" s="277" t="s">
        <v>4</v>
      </c>
      <c r="BT62" s="188">
        <v>0.03722222222222222</v>
      </c>
      <c r="BU62" s="93">
        <v>491.9896640826874</v>
      </c>
      <c r="BV62" s="277"/>
      <c r="BW62" s="277"/>
      <c r="BX62" s="188"/>
      <c r="BY62" s="36"/>
      <c r="BZ62" s="277"/>
      <c r="CA62" s="277"/>
      <c r="CB62" s="188"/>
      <c r="CC62" s="36"/>
      <c r="CD62" s="274"/>
      <c r="CE62" s="274"/>
      <c r="CF62" s="273"/>
      <c r="CG62" s="93"/>
      <c r="CH62" s="274"/>
      <c r="CI62" s="274"/>
      <c r="CJ62" s="273"/>
      <c r="CK62" s="93"/>
      <c r="CL62" s="274"/>
      <c r="CM62" s="274"/>
      <c r="CN62" s="273"/>
      <c r="CO62" s="93"/>
      <c r="CP62" s="274"/>
      <c r="CQ62" s="274"/>
      <c r="CR62" s="273"/>
      <c r="CS62" s="93"/>
      <c r="CT62" s="274"/>
      <c r="CU62" s="274"/>
      <c r="CV62" s="273"/>
      <c r="CW62" s="93"/>
      <c r="CX62" s="274"/>
      <c r="CY62" s="274"/>
      <c r="CZ62" s="273"/>
      <c r="DA62" s="93"/>
      <c r="DB62" s="274"/>
      <c r="DC62" s="274"/>
      <c r="DD62" s="273"/>
      <c r="DE62" s="93"/>
    </row>
    <row r="63" spans="1:109" ht="12.75">
      <c r="A63" s="253">
        <v>50</v>
      </c>
      <c r="B63" s="259" t="s">
        <v>410</v>
      </c>
      <c r="C63" s="193" t="s">
        <v>10</v>
      </c>
      <c r="D63" s="193" t="s">
        <v>411</v>
      </c>
      <c r="F63" s="190">
        <v>1995</v>
      </c>
      <c r="G63" s="255">
        <f t="shared" si="1"/>
        <v>2109.229483570277</v>
      </c>
      <c r="H63" s="256">
        <f t="shared" si="2"/>
        <v>2109.229483570277</v>
      </c>
      <c r="I63" s="257">
        <v>4</v>
      </c>
      <c r="J63" s="277" t="s">
        <v>412</v>
      </c>
      <c r="K63" s="277" t="s">
        <v>4</v>
      </c>
      <c r="L63" s="278">
        <v>0.031608796296296295</v>
      </c>
      <c r="M63" s="93">
        <v>800</v>
      </c>
      <c r="N63" s="277"/>
      <c r="O63" s="277"/>
      <c r="P63" s="276"/>
      <c r="Q63" s="35"/>
      <c r="R63" s="277"/>
      <c r="S63" s="277"/>
      <c r="T63" s="276"/>
      <c r="U63" s="36"/>
      <c r="V63" s="277"/>
      <c r="W63" s="277"/>
      <c r="X63" s="276"/>
      <c r="Y63" s="35"/>
      <c r="Z63" s="274" t="s">
        <v>592</v>
      </c>
      <c r="AA63" s="274" t="s">
        <v>159</v>
      </c>
      <c r="AB63" s="275" t="s">
        <v>358</v>
      </c>
      <c r="AC63" s="93">
        <v>0</v>
      </c>
      <c r="AD63" s="274" t="s">
        <v>592</v>
      </c>
      <c r="AE63" s="274" t="s">
        <v>159</v>
      </c>
      <c r="AF63" s="275">
        <v>0.05826388888888889</v>
      </c>
      <c r="AG63" s="93">
        <v>567.5138121546961</v>
      </c>
      <c r="AH63" s="274" t="s">
        <v>592</v>
      </c>
      <c r="AI63" s="274" t="s">
        <v>159</v>
      </c>
      <c r="AJ63" s="275">
        <v>0.04265046296296296</v>
      </c>
      <c r="AK63" s="93">
        <v>741.7156714155806</v>
      </c>
      <c r="AL63" s="274"/>
      <c r="AM63" s="274"/>
      <c r="AN63" s="282"/>
      <c r="AO63" s="93"/>
      <c r="AP63" s="274"/>
      <c r="AQ63" s="274"/>
      <c r="AR63" s="275"/>
      <c r="AS63" s="93"/>
      <c r="AT63" s="274"/>
      <c r="AU63" s="274"/>
      <c r="AV63" s="273"/>
      <c r="AW63" s="93"/>
      <c r="AX63" s="274"/>
      <c r="AY63" s="274"/>
      <c r="AZ63" s="275"/>
      <c r="BA63" s="93"/>
      <c r="BB63" s="274"/>
      <c r="BC63" s="274"/>
      <c r="BD63" s="275"/>
      <c r="BE63" s="93"/>
      <c r="BF63" s="274"/>
      <c r="BG63" s="274"/>
      <c r="BH63" s="273"/>
      <c r="BI63" s="93"/>
      <c r="BJ63" s="274"/>
      <c r="BK63" s="274"/>
      <c r="BL63" s="273"/>
      <c r="BM63" s="93"/>
      <c r="BN63" s="274"/>
      <c r="BO63" s="274"/>
      <c r="BP63" s="273"/>
      <c r="BQ63" s="93"/>
      <c r="BR63" s="274"/>
      <c r="BS63" s="274"/>
      <c r="BT63" s="273"/>
      <c r="BU63" s="93"/>
      <c r="BV63" s="274"/>
      <c r="BW63" s="274"/>
      <c r="BX63" s="273"/>
      <c r="BY63" s="93"/>
      <c r="BZ63" s="274"/>
      <c r="CA63" s="274"/>
      <c r="CB63" s="273"/>
      <c r="CC63" s="93"/>
      <c r="CD63" s="274"/>
      <c r="CE63" s="274"/>
      <c r="CF63" s="273"/>
      <c r="CG63" s="93"/>
      <c r="CH63" s="274"/>
      <c r="CI63" s="274"/>
      <c r="CJ63" s="273"/>
      <c r="CK63" s="93"/>
      <c r="CL63" s="274"/>
      <c r="CM63" s="274"/>
      <c r="CN63" s="273"/>
      <c r="CO63" s="93"/>
      <c r="CP63" s="274"/>
      <c r="CQ63" s="274"/>
      <c r="CR63" s="273"/>
      <c r="CS63" s="93"/>
      <c r="CT63" s="274"/>
      <c r="CU63" s="274"/>
      <c r="CV63" s="273"/>
      <c r="CW63" s="93"/>
      <c r="CX63" s="274"/>
      <c r="CY63" s="274"/>
      <c r="CZ63" s="273"/>
      <c r="DA63" s="93"/>
      <c r="DB63" s="274"/>
      <c r="DC63" s="274"/>
      <c r="DD63" s="273"/>
      <c r="DE63" s="93"/>
    </row>
    <row r="64" spans="1:109" ht="12.75">
      <c r="A64" s="253">
        <v>51</v>
      </c>
      <c r="B64" s="265" t="s">
        <v>600</v>
      </c>
      <c r="C64" s="193" t="s">
        <v>470</v>
      </c>
      <c r="D64" s="193" t="s">
        <v>471</v>
      </c>
      <c r="F64" s="190"/>
      <c r="G64" s="255">
        <f t="shared" si="1"/>
        <v>2086.2337412814363</v>
      </c>
      <c r="H64" s="256">
        <f t="shared" si="2"/>
        <v>2086.2337412814363</v>
      </c>
      <c r="I64" s="257">
        <v>3</v>
      </c>
      <c r="J64" s="289"/>
      <c r="K64" s="277"/>
      <c r="L64" s="276"/>
      <c r="M64" s="35"/>
      <c r="N64" s="277"/>
      <c r="O64" s="277"/>
      <c r="P64" s="276"/>
      <c r="Q64" s="35"/>
      <c r="R64" s="277"/>
      <c r="S64" s="277"/>
      <c r="T64" s="278"/>
      <c r="U64" s="36"/>
      <c r="V64" s="277"/>
      <c r="W64" s="277"/>
      <c r="X64" s="276"/>
      <c r="Y64" s="290"/>
      <c r="Z64" s="277" t="s">
        <v>584</v>
      </c>
      <c r="AA64" s="188" t="s">
        <v>4</v>
      </c>
      <c r="AB64" s="188">
        <v>0.01834490740740741</v>
      </c>
      <c r="AC64" s="93">
        <v>470.3043680297395</v>
      </c>
      <c r="AD64" s="277" t="s">
        <v>584</v>
      </c>
      <c r="AE64" s="188" t="s">
        <v>4</v>
      </c>
      <c r="AF64" s="188">
        <v>0.06863425925925926</v>
      </c>
      <c r="AG64" s="93">
        <v>849.2636138613863</v>
      </c>
      <c r="AH64" s="277" t="s">
        <v>584</v>
      </c>
      <c r="AI64" s="188" t="s">
        <v>4</v>
      </c>
      <c r="AJ64" s="188">
        <v>0.048518518518518516</v>
      </c>
      <c r="AK64" s="93">
        <v>766.6657593903104</v>
      </c>
      <c r="AL64" s="274"/>
      <c r="AM64" s="274"/>
      <c r="AN64" s="281"/>
      <c r="AO64" s="93"/>
      <c r="AP64" s="274"/>
      <c r="AQ64" s="274"/>
      <c r="AR64" s="275"/>
      <c r="AS64" s="93"/>
      <c r="AT64" s="274"/>
      <c r="AU64" s="274"/>
      <c r="AV64" s="273"/>
      <c r="AW64" s="93"/>
      <c r="AX64" s="274"/>
      <c r="AY64" s="274"/>
      <c r="AZ64" s="275"/>
      <c r="BA64" s="93"/>
      <c r="BB64" s="274"/>
      <c r="BC64" s="274"/>
      <c r="BD64" s="275"/>
      <c r="BE64" s="93"/>
      <c r="BF64" s="274"/>
      <c r="BG64" s="274"/>
      <c r="BH64" s="273"/>
      <c r="BI64" s="93"/>
      <c r="BJ64" s="274"/>
      <c r="BK64" s="274"/>
      <c r="BL64" s="281"/>
      <c r="BM64" s="93"/>
      <c r="BN64" s="274"/>
      <c r="BO64" s="274"/>
      <c r="BP64" s="275"/>
      <c r="BQ64" s="93"/>
      <c r="BR64" s="274"/>
      <c r="BS64" s="274"/>
      <c r="BT64" s="275"/>
      <c r="BU64" s="93"/>
      <c r="BV64" s="274"/>
      <c r="BW64" s="274"/>
      <c r="BX64" s="275"/>
      <c r="BY64" s="93"/>
      <c r="BZ64" s="274"/>
      <c r="CA64" s="274"/>
      <c r="CB64" s="275"/>
      <c r="CC64" s="93"/>
      <c r="CD64" s="274"/>
      <c r="CE64" s="274"/>
      <c r="CF64" s="273"/>
      <c r="CG64" s="93"/>
      <c r="CH64" s="274"/>
      <c r="CI64" s="274"/>
      <c r="CJ64" s="273"/>
      <c r="CK64" s="93"/>
      <c r="CL64" s="274"/>
      <c r="CM64" s="274"/>
      <c r="CN64" s="273"/>
      <c r="CO64" s="93"/>
      <c r="CP64" s="274"/>
      <c r="CQ64" s="274"/>
      <c r="CR64" s="273"/>
      <c r="CS64" s="93"/>
      <c r="CT64" s="274"/>
      <c r="CU64" s="274"/>
      <c r="CV64" s="273"/>
      <c r="CW64" s="93"/>
      <c r="CX64" s="274"/>
      <c r="CY64" s="274"/>
      <c r="CZ64" s="273"/>
      <c r="DA64" s="93"/>
      <c r="DB64" s="274"/>
      <c r="DC64" s="274"/>
      <c r="DD64" s="273"/>
      <c r="DE64" s="93"/>
    </row>
    <row r="65" spans="1:109" ht="12.75">
      <c r="A65" s="253">
        <v>52</v>
      </c>
      <c r="B65" s="265" t="s">
        <v>478</v>
      </c>
      <c r="C65" s="193" t="s">
        <v>473</v>
      </c>
      <c r="D65" s="193" t="s">
        <v>474</v>
      </c>
      <c r="F65" s="190"/>
      <c r="G65" s="255">
        <f t="shared" si="1"/>
        <v>1992.1915444348574</v>
      </c>
      <c r="H65" s="256">
        <f t="shared" si="2"/>
        <v>1992.1915444348574</v>
      </c>
      <c r="I65" s="257">
        <v>2</v>
      </c>
      <c r="J65" s="280"/>
      <c r="K65" s="274"/>
      <c r="L65" s="281"/>
      <c r="M65" s="93"/>
      <c r="N65" s="274"/>
      <c r="O65" s="274"/>
      <c r="P65" s="281"/>
      <c r="Q65" s="93"/>
      <c r="R65" s="274"/>
      <c r="S65" s="274"/>
      <c r="T65" s="281"/>
      <c r="U65" s="93"/>
      <c r="V65" s="277"/>
      <c r="W65" s="277"/>
      <c r="X65" s="276"/>
      <c r="Y65" s="93"/>
      <c r="Z65" s="274" t="s">
        <v>493</v>
      </c>
      <c r="AA65" s="274" t="s">
        <v>3</v>
      </c>
      <c r="AB65" s="188">
        <v>0.014791666666666668</v>
      </c>
      <c r="AC65" s="36">
        <v>942.1915444348573</v>
      </c>
      <c r="AD65" s="274" t="s">
        <v>493</v>
      </c>
      <c r="AE65" s="274" t="s">
        <v>3</v>
      </c>
      <c r="AF65" s="188">
        <v>0.055312499999999994</v>
      </c>
      <c r="AG65" s="36">
        <v>1050</v>
      </c>
      <c r="AH65" s="274"/>
      <c r="AI65" s="274"/>
      <c r="AJ65" s="277"/>
      <c r="AK65" s="36"/>
      <c r="AL65" s="274"/>
      <c r="AM65" s="274"/>
      <c r="AN65" s="282"/>
      <c r="AO65" s="93"/>
      <c r="AP65" s="274"/>
      <c r="AQ65" s="274"/>
      <c r="AR65" s="275"/>
      <c r="AS65" s="93"/>
      <c r="AT65" s="274"/>
      <c r="AU65" s="274"/>
      <c r="AV65" s="275"/>
      <c r="AW65" s="93"/>
      <c r="AX65" s="274"/>
      <c r="AY65" s="274"/>
      <c r="AZ65" s="275"/>
      <c r="BA65" s="93"/>
      <c r="BB65" s="274"/>
      <c r="BC65" s="274"/>
      <c r="BD65" s="273"/>
      <c r="BE65" s="93"/>
      <c r="BF65" s="274"/>
      <c r="BG65" s="274"/>
      <c r="BH65" s="273"/>
      <c r="BI65" s="93"/>
      <c r="BJ65" s="274"/>
      <c r="BK65" s="274"/>
      <c r="BL65" s="275"/>
      <c r="BM65" s="93"/>
      <c r="BN65" s="274"/>
      <c r="BO65" s="274"/>
      <c r="BP65" s="273"/>
      <c r="BQ65" s="93"/>
      <c r="BR65" s="274"/>
      <c r="BS65" s="274"/>
      <c r="BT65" s="273"/>
      <c r="BU65" s="93"/>
      <c r="BV65" s="274"/>
      <c r="BW65" s="274"/>
      <c r="BX65" s="273"/>
      <c r="BY65" s="93"/>
      <c r="BZ65" s="274"/>
      <c r="CA65" s="274"/>
      <c r="CB65" s="273"/>
      <c r="CC65" s="93"/>
      <c r="CD65" s="274"/>
      <c r="CE65" s="274"/>
      <c r="CF65" s="273"/>
      <c r="CG65" s="36"/>
      <c r="CH65" s="274"/>
      <c r="CI65" s="274"/>
      <c r="CJ65" s="273"/>
      <c r="CK65" s="93"/>
      <c r="CL65" s="274"/>
      <c r="CM65" s="274"/>
      <c r="CN65" s="273"/>
      <c r="CO65" s="93"/>
      <c r="CP65" s="274"/>
      <c r="CQ65" s="274"/>
      <c r="CR65" s="273"/>
      <c r="CS65" s="93"/>
      <c r="CT65" s="274"/>
      <c r="CU65" s="274"/>
      <c r="CV65" s="273"/>
      <c r="CW65" s="93"/>
      <c r="CX65" s="274"/>
      <c r="CY65" s="274"/>
      <c r="CZ65" s="273"/>
      <c r="DA65" s="93"/>
      <c r="DB65" s="274"/>
      <c r="DC65" s="274"/>
      <c r="DD65" s="273"/>
      <c r="DE65" s="93"/>
    </row>
    <row r="66" spans="1:109" ht="12.75">
      <c r="A66" s="253">
        <v>53</v>
      </c>
      <c r="B66" s="265" t="s">
        <v>601</v>
      </c>
      <c r="C66" s="193" t="s">
        <v>476</v>
      </c>
      <c r="D66" s="193" t="s">
        <v>477</v>
      </c>
      <c r="F66" s="190"/>
      <c r="G66" s="255">
        <f t="shared" si="1"/>
        <v>1977.926603778847</v>
      </c>
      <c r="H66" s="256">
        <f t="shared" si="2"/>
        <v>1977.926603778847</v>
      </c>
      <c r="I66" s="257">
        <v>3</v>
      </c>
      <c r="J66" s="289"/>
      <c r="K66" s="277"/>
      <c r="L66" s="276"/>
      <c r="M66" s="35"/>
      <c r="N66" s="277"/>
      <c r="O66" s="277"/>
      <c r="P66" s="276"/>
      <c r="Q66" s="35"/>
      <c r="R66" s="277"/>
      <c r="S66" s="277"/>
      <c r="T66" s="278"/>
      <c r="U66" s="36"/>
      <c r="V66" s="277"/>
      <c r="W66" s="277"/>
      <c r="X66" s="276"/>
      <c r="Y66" s="290"/>
      <c r="Z66" s="277" t="s">
        <v>584</v>
      </c>
      <c r="AA66" s="188" t="s">
        <v>4</v>
      </c>
      <c r="AB66" s="188">
        <v>0.017974537037037035</v>
      </c>
      <c r="AC66" s="93">
        <v>496.84711895910783</v>
      </c>
      <c r="AD66" s="277" t="s">
        <v>584</v>
      </c>
      <c r="AE66" s="188" t="s">
        <v>4</v>
      </c>
      <c r="AF66" s="188">
        <v>0.07645833333333334</v>
      </c>
      <c r="AG66" s="93">
        <v>742.5928217821781</v>
      </c>
      <c r="AH66" s="277" t="s">
        <v>584</v>
      </c>
      <c r="AI66" s="188" t="s">
        <v>4</v>
      </c>
      <c r="AJ66" s="188">
        <v>0.04986111111111111</v>
      </c>
      <c r="AK66" s="93">
        <v>738.4866630375612</v>
      </c>
      <c r="AL66" s="274"/>
      <c r="AM66" s="274"/>
      <c r="AN66" s="273"/>
      <c r="AO66" s="93"/>
      <c r="AP66" s="274"/>
      <c r="AQ66" s="274"/>
      <c r="AR66" s="273"/>
      <c r="AS66" s="93"/>
      <c r="AT66" s="274"/>
      <c r="AU66" s="274"/>
      <c r="AV66" s="273"/>
      <c r="AW66" s="93"/>
      <c r="AX66" s="274"/>
      <c r="AY66" s="274"/>
      <c r="AZ66" s="275"/>
      <c r="BA66" s="93"/>
      <c r="BB66" s="274"/>
      <c r="BC66" s="274"/>
      <c r="BD66" s="273"/>
      <c r="BE66" s="93"/>
      <c r="BF66" s="274"/>
      <c r="BG66" s="274"/>
      <c r="BH66" s="273"/>
      <c r="BI66" s="93"/>
      <c r="BJ66" s="274"/>
      <c r="BK66" s="274"/>
      <c r="BL66" s="273"/>
      <c r="BM66" s="93"/>
      <c r="BN66" s="274"/>
      <c r="BO66" s="274"/>
      <c r="BP66" s="273"/>
      <c r="BQ66" s="93"/>
      <c r="BR66" s="274"/>
      <c r="BS66" s="274"/>
      <c r="BT66" s="273"/>
      <c r="BU66" s="93"/>
      <c r="BV66" s="274"/>
      <c r="BW66" s="274"/>
      <c r="BX66" s="273"/>
      <c r="BY66" s="93"/>
      <c r="BZ66" s="274"/>
      <c r="CA66" s="274"/>
      <c r="CB66" s="273"/>
      <c r="CC66" s="93"/>
      <c r="CD66" s="274"/>
      <c r="CE66" s="274"/>
      <c r="CF66" s="273"/>
      <c r="CG66" s="93"/>
      <c r="CH66" s="274"/>
      <c r="CI66" s="274"/>
      <c r="CJ66" s="273"/>
      <c r="CK66" s="93"/>
      <c r="CL66" s="274"/>
      <c r="CM66" s="274"/>
      <c r="CN66" s="273"/>
      <c r="CO66" s="93"/>
      <c r="CP66" s="274"/>
      <c r="CQ66" s="274"/>
      <c r="CR66" s="273"/>
      <c r="CS66" s="93"/>
      <c r="CT66" s="274"/>
      <c r="CU66" s="274"/>
      <c r="CV66" s="273"/>
      <c r="CW66" s="93"/>
      <c r="CX66" s="274"/>
      <c r="CY66" s="274"/>
      <c r="CZ66" s="273"/>
      <c r="DA66" s="93"/>
      <c r="DB66" s="274"/>
      <c r="DC66" s="274"/>
      <c r="DD66" s="273"/>
      <c r="DE66" s="93"/>
    </row>
    <row r="67" spans="1:109" ht="12.75">
      <c r="A67" s="253">
        <v>54</v>
      </c>
      <c r="B67" s="265" t="s">
        <v>602</v>
      </c>
      <c r="C67" s="193" t="s">
        <v>473</v>
      </c>
      <c r="D67" s="193" t="s">
        <v>474</v>
      </c>
      <c r="F67" s="548"/>
      <c r="G67" s="255">
        <f t="shared" si="1"/>
        <v>1943.0015955532012</v>
      </c>
      <c r="H67" s="256">
        <f t="shared" si="2"/>
        <v>1943.0015955532012</v>
      </c>
      <c r="I67" s="257">
        <v>3</v>
      </c>
      <c r="J67" s="289"/>
      <c r="K67" s="277"/>
      <c r="L67" s="276"/>
      <c r="M67" s="35"/>
      <c r="N67" s="277"/>
      <c r="O67" s="277"/>
      <c r="P67" s="276"/>
      <c r="Q67" s="35"/>
      <c r="R67" s="277"/>
      <c r="S67" s="277"/>
      <c r="T67" s="278"/>
      <c r="U67" s="36"/>
      <c r="V67" s="277"/>
      <c r="W67" s="277"/>
      <c r="X67" s="276"/>
      <c r="Y67" s="290"/>
      <c r="Z67" s="277" t="s">
        <v>584</v>
      </c>
      <c r="AA67" s="188" t="s">
        <v>4</v>
      </c>
      <c r="AB67" s="188">
        <v>0.014618055555555556</v>
      </c>
      <c r="AC67" s="93">
        <v>737.3907992565056</v>
      </c>
      <c r="AD67" s="277" t="s">
        <v>584</v>
      </c>
      <c r="AE67" s="188" t="s">
        <v>4</v>
      </c>
      <c r="AF67" s="188">
        <v>0.07579861111111111</v>
      </c>
      <c r="AG67" s="93">
        <v>751.5872524752475</v>
      </c>
      <c r="AH67" s="277" t="s">
        <v>584</v>
      </c>
      <c r="AI67" s="188" t="s">
        <v>4</v>
      </c>
      <c r="AJ67" s="188">
        <v>0.06341435185185185</v>
      </c>
      <c r="AK67" s="93">
        <v>454.02354382144813</v>
      </c>
      <c r="AL67" s="277"/>
      <c r="AM67" s="277"/>
      <c r="AN67" s="188"/>
      <c r="AO67" s="93"/>
      <c r="AP67" s="277"/>
      <c r="AQ67" s="277"/>
      <c r="AR67" s="188"/>
      <c r="AS67" s="93"/>
      <c r="AT67" s="277"/>
      <c r="AU67" s="277"/>
      <c r="AV67" s="188"/>
      <c r="AW67" s="93"/>
      <c r="AX67" s="274"/>
      <c r="AY67" s="274"/>
      <c r="AZ67" s="275"/>
      <c r="BA67" s="93"/>
      <c r="BB67" s="274"/>
      <c r="BC67" s="274"/>
      <c r="BD67" s="275"/>
      <c r="BE67" s="93"/>
      <c r="BF67" s="274"/>
      <c r="BG67" s="274"/>
      <c r="BH67" s="273"/>
      <c r="BI67" s="93"/>
      <c r="BJ67" s="274"/>
      <c r="BK67" s="274"/>
      <c r="BL67" s="281"/>
      <c r="BM67" s="93"/>
      <c r="BN67" s="274"/>
      <c r="BO67" s="274"/>
      <c r="BP67" s="273"/>
      <c r="BQ67" s="93"/>
      <c r="BR67" s="274"/>
      <c r="BS67" s="274"/>
      <c r="BT67" s="273"/>
      <c r="BU67" s="93"/>
      <c r="BV67" s="274"/>
      <c r="BW67" s="274"/>
      <c r="BX67" s="273"/>
      <c r="BY67" s="93"/>
      <c r="BZ67" s="274"/>
      <c r="CA67" s="274"/>
      <c r="CB67" s="273"/>
      <c r="CC67" s="93"/>
      <c r="CD67" s="274"/>
      <c r="CE67" s="274"/>
      <c r="CF67" s="273"/>
      <c r="CG67" s="93"/>
      <c r="CH67" s="274"/>
      <c r="CI67" s="274"/>
      <c r="CJ67" s="273"/>
      <c r="CK67" s="93"/>
      <c r="CL67" s="274"/>
      <c r="CM67" s="274"/>
      <c r="CN67" s="273"/>
      <c r="CO67" s="93"/>
      <c r="CP67" s="274"/>
      <c r="CQ67" s="274"/>
      <c r="CR67" s="273"/>
      <c r="CS67" s="93"/>
      <c r="CT67" s="274"/>
      <c r="CU67" s="274"/>
      <c r="CV67" s="273"/>
      <c r="CW67" s="93"/>
      <c r="CX67" s="274"/>
      <c r="CY67" s="274"/>
      <c r="CZ67" s="273"/>
      <c r="DA67" s="93"/>
      <c r="DB67" s="274"/>
      <c r="DC67" s="274"/>
      <c r="DD67" s="273"/>
      <c r="DE67" s="93"/>
    </row>
    <row r="68" spans="1:109" ht="12.75">
      <c r="A68" s="253">
        <v>55</v>
      </c>
      <c r="B68" s="265" t="s">
        <v>490</v>
      </c>
      <c r="C68" s="193" t="s">
        <v>491</v>
      </c>
      <c r="D68" s="193" t="s">
        <v>492</v>
      </c>
      <c r="F68" s="190"/>
      <c r="G68" s="255">
        <f t="shared" si="1"/>
        <v>1932.827531977026</v>
      </c>
      <c r="H68" s="256">
        <f t="shared" si="2"/>
        <v>1932.827531977026</v>
      </c>
      <c r="I68" s="257">
        <v>3</v>
      </c>
      <c r="J68" s="280"/>
      <c r="K68" s="274"/>
      <c r="L68" s="281"/>
      <c r="M68" s="93"/>
      <c r="N68" s="274"/>
      <c r="O68" s="274"/>
      <c r="P68" s="281"/>
      <c r="Q68" s="93"/>
      <c r="R68" s="274"/>
      <c r="S68" s="274"/>
      <c r="T68" s="281"/>
      <c r="U68" s="93"/>
      <c r="V68" s="277"/>
      <c r="W68" s="277"/>
      <c r="X68" s="276"/>
      <c r="Y68" s="93"/>
      <c r="Z68" s="274" t="s">
        <v>493</v>
      </c>
      <c r="AA68" s="274" t="s">
        <v>3</v>
      </c>
      <c r="AB68" s="277" t="s">
        <v>358</v>
      </c>
      <c r="AC68" s="36">
        <v>0</v>
      </c>
      <c r="AD68" s="274" t="s">
        <v>493</v>
      </c>
      <c r="AE68" s="274" t="s">
        <v>3</v>
      </c>
      <c r="AF68" s="188">
        <v>0.06208333333333333</v>
      </c>
      <c r="AG68" s="36">
        <v>921.4689265536722</v>
      </c>
      <c r="AH68" s="274" t="s">
        <v>493</v>
      </c>
      <c r="AI68" s="274" t="s">
        <v>3</v>
      </c>
      <c r="AJ68" s="188">
        <v>0.043368055555555556</v>
      </c>
      <c r="AK68" s="36">
        <v>1011.3586054233537</v>
      </c>
      <c r="AL68" s="277"/>
      <c r="AM68" s="277"/>
      <c r="AN68" s="188"/>
      <c r="AO68" s="93"/>
      <c r="AP68" s="277"/>
      <c r="AQ68" s="277"/>
      <c r="AR68" s="188"/>
      <c r="AS68" s="93"/>
      <c r="AT68" s="274"/>
      <c r="AU68" s="274"/>
      <c r="AV68" s="273"/>
      <c r="AW68" s="93"/>
      <c r="AX68" s="274"/>
      <c r="AY68" s="274"/>
      <c r="AZ68" s="275"/>
      <c r="BA68" s="93"/>
      <c r="BB68" s="274"/>
      <c r="BC68" s="274"/>
      <c r="BD68" s="275"/>
      <c r="BE68" s="93"/>
      <c r="BF68" s="274"/>
      <c r="BG68" s="274"/>
      <c r="BH68" s="273"/>
      <c r="BI68" s="93"/>
      <c r="BJ68" s="274"/>
      <c r="BK68" s="274"/>
      <c r="BL68" s="273"/>
      <c r="BM68" s="93"/>
      <c r="BN68" s="274"/>
      <c r="BO68" s="274"/>
      <c r="BP68" s="273"/>
      <c r="BQ68" s="93"/>
      <c r="BR68" s="274"/>
      <c r="BS68" s="274"/>
      <c r="BT68" s="273"/>
      <c r="BU68" s="93"/>
      <c r="BV68" s="274"/>
      <c r="BW68" s="274"/>
      <c r="BX68" s="273"/>
      <c r="BY68" s="93"/>
      <c r="BZ68" s="274"/>
      <c r="CA68" s="274"/>
      <c r="CB68" s="273"/>
      <c r="CC68" s="93"/>
      <c r="CD68" s="277"/>
      <c r="CE68" s="277"/>
      <c r="CF68" s="188"/>
      <c r="CG68" s="93"/>
      <c r="CH68" s="274"/>
      <c r="CI68" s="274"/>
      <c r="CJ68" s="273"/>
      <c r="CK68" s="93"/>
      <c r="CL68" s="274"/>
      <c r="CM68" s="274"/>
      <c r="CN68" s="273"/>
      <c r="CO68" s="93"/>
      <c r="CP68" s="274"/>
      <c r="CQ68" s="274"/>
      <c r="CR68" s="273"/>
      <c r="CS68" s="93"/>
      <c r="CT68" s="274"/>
      <c r="CU68" s="274"/>
      <c r="CV68" s="273"/>
      <c r="CW68" s="93"/>
      <c r="CX68" s="274"/>
      <c r="CY68" s="274"/>
      <c r="CZ68" s="273"/>
      <c r="DA68" s="93"/>
      <c r="DB68" s="274"/>
      <c r="DC68" s="274"/>
      <c r="DD68" s="273"/>
      <c r="DE68" s="93"/>
    </row>
    <row r="69" spans="1:109" ht="12.75">
      <c r="A69" s="253">
        <v>56</v>
      </c>
      <c r="B69" s="265" t="s">
        <v>485</v>
      </c>
      <c r="C69" s="193" t="s">
        <v>470</v>
      </c>
      <c r="D69" s="193" t="s">
        <v>471</v>
      </c>
      <c r="F69" s="190"/>
      <c r="G69" s="255">
        <f t="shared" si="1"/>
        <v>1909.342143906204</v>
      </c>
      <c r="H69" s="256">
        <f t="shared" si="2"/>
        <v>1909.342143906204</v>
      </c>
      <c r="I69" s="257">
        <v>3</v>
      </c>
      <c r="J69" s="280"/>
      <c r="K69" s="274"/>
      <c r="L69" s="281"/>
      <c r="M69" s="93"/>
      <c r="N69" s="274"/>
      <c r="O69" s="274"/>
      <c r="P69" s="281"/>
      <c r="Q69" s="93"/>
      <c r="R69" s="274"/>
      <c r="S69" s="274"/>
      <c r="T69" s="281"/>
      <c r="U69" s="93"/>
      <c r="V69" s="277"/>
      <c r="W69" s="277"/>
      <c r="X69" s="276"/>
      <c r="Y69" s="93"/>
      <c r="Z69" s="274" t="s">
        <v>493</v>
      </c>
      <c r="AA69" s="274" t="s">
        <v>3</v>
      </c>
      <c r="AB69" s="188">
        <v>0.023483796296296298</v>
      </c>
      <c r="AC69" s="36">
        <v>261.82053494391687</v>
      </c>
      <c r="AD69" s="274" t="s">
        <v>493</v>
      </c>
      <c r="AE69" s="274" t="s">
        <v>3</v>
      </c>
      <c r="AF69" s="188">
        <v>0.0727662037037037</v>
      </c>
      <c r="AG69" s="36">
        <v>718.6754551161332</v>
      </c>
      <c r="AH69" s="274" t="s">
        <v>493</v>
      </c>
      <c r="AI69" s="274" t="s">
        <v>3</v>
      </c>
      <c r="AJ69" s="188">
        <v>0.046655092592592595</v>
      </c>
      <c r="AK69" s="36">
        <v>928.8461538461538</v>
      </c>
      <c r="AL69" s="277"/>
      <c r="AM69" s="277"/>
      <c r="AN69" s="188"/>
      <c r="AO69" s="93"/>
      <c r="AP69" s="277"/>
      <c r="AQ69" s="277"/>
      <c r="AR69" s="188"/>
      <c r="AS69" s="93"/>
      <c r="AT69" s="274"/>
      <c r="AU69" s="274"/>
      <c r="AV69" s="273"/>
      <c r="AW69" s="93"/>
      <c r="AX69" s="274"/>
      <c r="AY69" s="274"/>
      <c r="AZ69" s="275"/>
      <c r="BA69" s="93"/>
      <c r="BB69" s="274"/>
      <c r="BC69" s="274"/>
      <c r="BD69" s="275"/>
      <c r="BE69" s="93"/>
      <c r="BF69" s="274"/>
      <c r="BG69" s="274"/>
      <c r="BH69" s="273"/>
      <c r="BI69" s="93"/>
      <c r="BJ69" s="274"/>
      <c r="BK69" s="274"/>
      <c r="BL69" s="281"/>
      <c r="BM69" s="93"/>
      <c r="BN69" s="274"/>
      <c r="BO69" s="274"/>
      <c r="BP69" s="281"/>
      <c r="BQ69" s="93"/>
      <c r="BR69" s="274"/>
      <c r="BS69" s="274"/>
      <c r="BT69" s="281"/>
      <c r="BU69" s="93"/>
      <c r="BV69" s="274"/>
      <c r="BW69" s="274"/>
      <c r="BX69" s="275"/>
      <c r="BY69" s="93"/>
      <c r="BZ69" s="274"/>
      <c r="CA69" s="274"/>
      <c r="CB69" s="275"/>
      <c r="CC69" s="93"/>
      <c r="CD69" s="277"/>
      <c r="CE69" s="277"/>
      <c r="CF69" s="188"/>
      <c r="CG69" s="93"/>
      <c r="CH69" s="274"/>
      <c r="CI69" s="274"/>
      <c r="CJ69" s="273"/>
      <c r="CK69" s="93"/>
      <c r="CL69" s="274"/>
      <c r="CM69" s="274"/>
      <c r="CN69" s="273"/>
      <c r="CO69" s="93"/>
      <c r="CP69" s="274"/>
      <c r="CQ69" s="274"/>
      <c r="CR69" s="273"/>
      <c r="CS69" s="93"/>
      <c r="CT69" s="274"/>
      <c r="CU69" s="274"/>
      <c r="CV69" s="273"/>
      <c r="CW69" s="93"/>
      <c r="CX69" s="274"/>
      <c r="CY69" s="274"/>
      <c r="CZ69" s="273"/>
      <c r="DA69" s="93"/>
      <c r="DB69" s="274"/>
      <c r="DC69" s="274"/>
      <c r="DD69" s="273"/>
      <c r="DE69" s="93"/>
    </row>
    <row r="70" spans="1:109" ht="12.75">
      <c r="A70" s="253">
        <v>57</v>
      </c>
      <c r="B70" s="267" t="s">
        <v>585</v>
      </c>
      <c r="C70" s="193" t="s">
        <v>481</v>
      </c>
      <c r="D70" s="193" t="s">
        <v>587</v>
      </c>
      <c r="E70" s="193" t="s">
        <v>360</v>
      </c>
      <c r="F70" s="548"/>
      <c r="G70" s="255">
        <f t="shared" si="1"/>
        <v>1776.3367356494055</v>
      </c>
      <c r="H70" s="256">
        <f t="shared" si="2"/>
        <v>1776.3367356494055</v>
      </c>
      <c r="I70" s="257">
        <v>3</v>
      </c>
      <c r="J70" s="277"/>
      <c r="K70" s="277"/>
      <c r="L70" s="276"/>
      <c r="M70" s="36"/>
      <c r="N70" s="277"/>
      <c r="O70" s="277"/>
      <c r="P70" s="276"/>
      <c r="Q70" s="35"/>
      <c r="R70" s="277"/>
      <c r="S70" s="277"/>
      <c r="T70" s="276"/>
      <c r="U70" s="36"/>
      <c r="V70" s="277"/>
      <c r="W70" s="277"/>
      <c r="X70" s="276"/>
      <c r="Y70" s="35"/>
      <c r="Z70" s="274" t="s">
        <v>401</v>
      </c>
      <c r="AA70" s="274" t="s">
        <v>159</v>
      </c>
      <c r="AB70" s="278">
        <v>0.029768518518518517</v>
      </c>
      <c r="AC70" s="93">
        <v>154.23728813559345</v>
      </c>
      <c r="AD70" s="274" t="s">
        <v>401</v>
      </c>
      <c r="AE70" s="274" t="s">
        <v>159</v>
      </c>
      <c r="AF70" s="275">
        <v>0.04702546296296297</v>
      </c>
      <c r="AG70" s="93">
        <v>782.0994475138122</v>
      </c>
      <c r="AH70" s="274" t="s">
        <v>401</v>
      </c>
      <c r="AI70" s="274" t="s">
        <v>159</v>
      </c>
      <c r="AJ70" s="275">
        <v>0.038182870370370374</v>
      </c>
      <c r="AK70" s="93">
        <v>840</v>
      </c>
      <c r="AL70" s="277"/>
      <c r="AM70" s="277"/>
      <c r="AN70" s="188"/>
      <c r="AO70" s="93"/>
      <c r="AP70" s="277"/>
      <c r="AQ70" s="277"/>
      <c r="AR70" s="188"/>
      <c r="AS70" s="93"/>
      <c r="AT70" s="274"/>
      <c r="AU70" s="274"/>
      <c r="AV70" s="275"/>
      <c r="AW70" s="93"/>
      <c r="AX70" s="274"/>
      <c r="AY70" s="274"/>
      <c r="AZ70" s="275"/>
      <c r="BA70" s="93"/>
      <c r="BB70" s="274"/>
      <c r="BC70" s="274"/>
      <c r="BD70" s="273"/>
      <c r="BE70" s="93"/>
      <c r="BF70" s="274"/>
      <c r="BG70" s="274"/>
      <c r="BH70" s="273"/>
      <c r="BI70" s="93"/>
      <c r="BJ70" s="277"/>
      <c r="BK70" s="277"/>
      <c r="BL70" s="188"/>
      <c r="BM70" s="93"/>
      <c r="BN70" s="274"/>
      <c r="BO70" s="274"/>
      <c r="BP70" s="273"/>
      <c r="BQ70" s="93"/>
      <c r="BR70" s="274"/>
      <c r="BS70" s="274"/>
      <c r="BT70" s="273"/>
      <c r="BU70" s="93"/>
      <c r="BV70" s="274"/>
      <c r="BW70" s="274"/>
      <c r="BX70" s="273"/>
      <c r="BY70" s="93"/>
      <c r="BZ70" s="274"/>
      <c r="CA70" s="274"/>
      <c r="CB70" s="273"/>
      <c r="CC70" s="93"/>
      <c r="CD70" s="277"/>
      <c r="CE70" s="277"/>
      <c r="CF70" s="188"/>
      <c r="CG70" s="93"/>
      <c r="CH70" s="274"/>
      <c r="CI70" s="274"/>
      <c r="CJ70" s="273"/>
      <c r="CK70" s="93"/>
      <c r="CL70" s="274"/>
      <c r="CM70" s="274"/>
      <c r="CN70" s="273"/>
      <c r="CO70" s="93"/>
      <c r="CP70" s="274"/>
      <c r="CQ70" s="274"/>
      <c r="CR70" s="273"/>
      <c r="CS70" s="93"/>
      <c r="CT70" s="274"/>
      <c r="CU70" s="274"/>
      <c r="CV70" s="273"/>
      <c r="CW70" s="93"/>
      <c r="CX70" s="274"/>
      <c r="CY70" s="274"/>
      <c r="CZ70" s="273"/>
      <c r="DA70" s="93"/>
      <c r="DB70" s="274"/>
      <c r="DC70" s="274"/>
      <c r="DD70" s="273"/>
      <c r="DE70" s="93"/>
    </row>
    <row r="71" spans="1:109" ht="12.75">
      <c r="A71" s="253">
        <v>59</v>
      </c>
      <c r="B71" s="264" t="s">
        <v>94</v>
      </c>
      <c r="C71" s="193" t="s">
        <v>95</v>
      </c>
      <c r="D71" s="193" t="s">
        <v>98</v>
      </c>
      <c r="E71" s="193" t="s">
        <v>360</v>
      </c>
      <c r="F71" s="190">
        <v>1972</v>
      </c>
      <c r="G71" s="255">
        <f t="shared" si="1"/>
        <v>1593.8177683680024</v>
      </c>
      <c r="H71" s="256">
        <f t="shared" si="2"/>
        <v>1593.8177683680024</v>
      </c>
      <c r="I71" s="257">
        <v>6</v>
      </c>
      <c r="J71" s="280"/>
      <c r="K71" s="274"/>
      <c r="L71" s="275"/>
      <c r="M71" s="93"/>
      <c r="N71" s="274"/>
      <c r="O71" s="274"/>
      <c r="P71" s="275"/>
      <c r="Q71" s="93"/>
      <c r="R71" s="274"/>
      <c r="S71" s="274"/>
      <c r="T71" s="281"/>
      <c r="U71" s="93"/>
      <c r="V71" s="274"/>
      <c r="W71" s="274"/>
      <c r="X71" s="275"/>
      <c r="Y71" s="93"/>
      <c r="Z71" s="274" t="s">
        <v>401</v>
      </c>
      <c r="AA71" s="274" t="s">
        <v>159</v>
      </c>
      <c r="AB71" s="278" t="s">
        <v>358</v>
      </c>
      <c r="AC71" s="93">
        <v>0</v>
      </c>
      <c r="AD71" s="274" t="s">
        <v>401</v>
      </c>
      <c r="AE71" s="274" t="s">
        <v>159</v>
      </c>
      <c r="AF71" s="275">
        <v>0.11231481481481481</v>
      </c>
      <c r="AG71" s="93">
        <v>10</v>
      </c>
      <c r="AH71" s="274" t="s">
        <v>401</v>
      </c>
      <c r="AI71" s="274" t="s">
        <v>159</v>
      </c>
      <c r="AJ71" s="275" t="s">
        <v>358</v>
      </c>
      <c r="AK71" s="93">
        <v>0</v>
      </c>
      <c r="AL71" s="277"/>
      <c r="AM71" s="277"/>
      <c r="AN71" s="188"/>
      <c r="AO71" s="93"/>
      <c r="AP71" s="277"/>
      <c r="AQ71" s="277"/>
      <c r="AR71" s="188"/>
      <c r="AS71" s="93"/>
      <c r="AT71" s="286" t="s">
        <v>688</v>
      </c>
      <c r="AU71" s="286" t="s">
        <v>4</v>
      </c>
      <c r="AV71" s="287">
        <v>0.037696759259259256</v>
      </c>
      <c r="AW71" s="93">
        <v>147.29411764705887</v>
      </c>
      <c r="AX71" s="286" t="s">
        <v>688</v>
      </c>
      <c r="AY71" s="286" t="s">
        <v>4</v>
      </c>
      <c r="AZ71" s="287">
        <v>0.02829861111111111</v>
      </c>
      <c r="BA71" s="93">
        <v>832.3730912092445</v>
      </c>
      <c r="BB71" s="286" t="s">
        <v>688</v>
      </c>
      <c r="BC71" s="286" t="s">
        <v>4</v>
      </c>
      <c r="BD71" s="287">
        <v>0.043715277777777777</v>
      </c>
      <c r="BE71" s="93">
        <v>604.1505595116989</v>
      </c>
      <c r="BF71" s="274"/>
      <c r="BG71" s="274"/>
      <c r="BH71" s="273"/>
      <c r="BI71" s="93"/>
      <c r="BJ71" s="274"/>
      <c r="BK71" s="274"/>
      <c r="BL71" s="273"/>
      <c r="BM71" s="93"/>
      <c r="BN71" s="274"/>
      <c r="BO71" s="274"/>
      <c r="BP71" s="275"/>
      <c r="BQ71" s="93"/>
      <c r="BR71" s="274"/>
      <c r="BS71" s="274"/>
      <c r="BT71" s="275"/>
      <c r="BU71" s="93"/>
      <c r="BV71" s="274"/>
      <c r="BW71" s="274"/>
      <c r="BX71" s="275"/>
      <c r="BY71" s="93"/>
      <c r="BZ71" s="274"/>
      <c r="CA71" s="274"/>
      <c r="CB71" s="275"/>
      <c r="CC71" s="93"/>
      <c r="CD71" s="277"/>
      <c r="CE71" s="277"/>
      <c r="CF71" s="188"/>
      <c r="CG71" s="93"/>
      <c r="CH71" s="274"/>
      <c r="CI71" s="274"/>
      <c r="CJ71" s="273"/>
      <c r="CK71" s="93"/>
      <c r="CL71" s="274"/>
      <c r="CM71" s="274"/>
      <c r="CN71" s="273"/>
      <c r="CO71" s="93"/>
      <c r="CP71" s="274"/>
      <c r="CQ71" s="274"/>
      <c r="CR71" s="273"/>
      <c r="CS71" s="93"/>
      <c r="CT71" s="274"/>
      <c r="CU71" s="274"/>
      <c r="CV71" s="273"/>
      <c r="CW71" s="93"/>
      <c r="CX71" s="274"/>
      <c r="CY71" s="274"/>
      <c r="CZ71" s="273"/>
      <c r="DA71" s="93"/>
      <c r="DB71" s="274"/>
      <c r="DC71" s="274"/>
      <c r="DD71" s="273"/>
      <c r="DE71" s="93"/>
    </row>
    <row r="72" spans="1:109" ht="12.75">
      <c r="A72" s="253">
        <v>60</v>
      </c>
      <c r="B72" s="267" t="s">
        <v>586</v>
      </c>
      <c r="C72" s="193" t="s">
        <v>473</v>
      </c>
      <c r="D72" s="193" t="s">
        <v>588</v>
      </c>
      <c r="E72" s="193" t="s">
        <v>360</v>
      </c>
      <c r="F72" s="190"/>
      <c r="G72" s="255">
        <f t="shared" si="1"/>
        <v>1554.698693906541</v>
      </c>
      <c r="H72" s="256">
        <f t="shared" si="2"/>
        <v>1554.698693906541</v>
      </c>
      <c r="I72" s="257">
        <v>3</v>
      </c>
      <c r="J72" s="277"/>
      <c r="K72" s="277"/>
      <c r="L72" s="276"/>
      <c r="M72" s="36"/>
      <c r="N72" s="277"/>
      <c r="O72" s="277"/>
      <c r="P72" s="276"/>
      <c r="Q72" s="35"/>
      <c r="R72" s="277"/>
      <c r="S72" s="277"/>
      <c r="T72" s="276"/>
      <c r="U72" s="36"/>
      <c r="V72" s="277"/>
      <c r="W72" s="277"/>
      <c r="X72" s="276"/>
      <c r="Y72" s="35"/>
      <c r="Z72" s="274" t="s">
        <v>401</v>
      </c>
      <c r="AA72" s="274" t="s">
        <v>159</v>
      </c>
      <c r="AB72" s="278">
        <v>0.030011574074074076</v>
      </c>
      <c r="AC72" s="93">
        <v>141.77966101694915</v>
      </c>
      <c r="AD72" s="274" t="s">
        <v>401</v>
      </c>
      <c r="AE72" s="274" t="s">
        <v>159</v>
      </c>
      <c r="AF72" s="275">
        <v>0.05372685185185185</v>
      </c>
      <c r="AG72" s="93">
        <v>654.1436464088398</v>
      </c>
      <c r="AH72" s="274" t="s">
        <v>401</v>
      </c>
      <c r="AI72" s="274" t="s">
        <v>159</v>
      </c>
      <c r="AJ72" s="275">
        <v>0.041874999999999996</v>
      </c>
      <c r="AK72" s="93">
        <v>758.775386480752</v>
      </c>
      <c r="AL72" s="277"/>
      <c r="AM72" s="277"/>
      <c r="AN72" s="188"/>
      <c r="AO72" s="93"/>
      <c r="AP72" s="277"/>
      <c r="AQ72" s="277"/>
      <c r="AR72" s="188"/>
      <c r="AS72" s="93"/>
      <c r="AT72" s="274"/>
      <c r="AU72" s="274"/>
      <c r="AV72" s="275"/>
      <c r="AW72" s="93"/>
      <c r="AX72" s="274"/>
      <c r="AY72" s="274"/>
      <c r="AZ72" s="275"/>
      <c r="BA72" s="93"/>
      <c r="BB72" s="274"/>
      <c r="BC72" s="274"/>
      <c r="BD72" s="273"/>
      <c r="BE72" s="93"/>
      <c r="BF72" s="274"/>
      <c r="BG72" s="274"/>
      <c r="BH72" s="273"/>
      <c r="BI72" s="93"/>
      <c r="BJ72" s="274"/>
      <c r="BK72" s="274"/>
      <c r="BL72" s="275"/>
      <c r="BM72" s="93"/>
      <c r="BN72" s="274"/>
      <c r="BO72" s="274"/>
      <c r="BP72" s="273"/>
      <c r="BQ72" s="93"/>
      <c r="BR72" s="274"/>
      <c r="BS72" s="274"/>
      <c r="BT72" s="273"/>
      <c r="BU72" s="93"/>
      <c r="BV72" s="274"/>
      <c r="BW72" s="274"/>
      <c r="BX72" s="273"/>
      <c r="BY72" s="93"/>
      <c r="BZ72" s="274"/>
      <c r="CA72" s="274"/>
      <c r="CB72" s="273"/>
      <c r="CC72" s="93"/>
      <c r="CD72" s="277"/>
      <c r="CE72" s="277"/>
      <c r="CF72" s="188"/>
      <c r="CG72" s="93"/>
      <c r="CH72" s="274"/>
      <c r="CI72" s="274"/>
      <c r="CJ72" s="273"/>
      <c r="CK72" s="93"/>
      <c r="CL72" s="274"/>
      <c r="CM72" s="274"/>
      <c r="CN72" s="273"/>
      <c r="CO72" s="93"/>
      <c r="CP72" s="274"/>
      <c r="CQ72" s="274"/>
      <c r="CR72" s="273"/>
      <c r="CS72" s="93"/>
      <c r="CT72" s="274"/>
      <c r="CU72" s="274"/>
      <c r="CV72" s="273"/>
      <c r="CW72" s="93"/>
      <c r="CX72" s="274"/>
      <c r="CY72" s="274"/>
      <c r="CZ72" s="273"/>
      <c r="DA72" s="93"/>
      <c r="DB72" s="274"/>
      <c r="DC72" s="274"/>
      <c r="DD72" s="273"/>
      <c r="DE72" s="93"/>
    </row>
    <row r="73" spans="1:109" ht="12.75">
      <c r="A73" s="253">
        <v>61</v>
      </c>
      <c r="B73" s="259" t="s">
        <v>581</v>
      </c>
      <c r="C73" s="193" t="s">
        <v>10</v>
      </c>
      <c r="D73" s="193" t="s">
        <v>21</v>
      </c>
      <c r="E73" s="193" t="s">
        <v>359</v>
      </c>
      <c r="F73" s="190"/>
      <c r="G73" s="255">
        <f t="shared" si="1"/>
        <v>1445.3644877553675</v>
      </c>
      <c r="H73" s="256">
        <f t="shared" si="2"/>
        <v>1445.3644877553675</v>
      </c>
      <c r="I73" s="257">
        <v>6</v>
      </c>
      <c r="J73" s="277"/>
      <c r="K73" s="277"/>
      <c r="L73" s="276"/>
      <c r="M73" s="36"/>
      <c r="N73" s="277"/>
      <c r="O73" s="277"/>
      <c r="P73" s="276"/>
      <c r="Q73" s="35"/>
      <c r="R73" s="277"/>
      <c r="S73" s="277"/>
      <c r="T73" s="276"/>
      <c r="U73" s="36"/>
      <c r="V73" s="277"/>
      <c r="W73" s="277"/>
      <c r="X73" s="276"/>
      <c r="Y73" s="35"/>
      <c r="Z73" s="277" t="s">
        <v>582</v>
      </c>
      <c r="AA73" s="277" t="s">
        <v>174</v>
      </c>
      <c r="AB73" s="276" t="s">
        <v>358</v>
      </c>
      <c r="AC73" s="93">
        <v>0</v>
      </c>
      <c r="AD73" s="277" t="s">
        <v>582</v>
      </c>
      <c r="AE73" s="277" t="s">
        <v>174</v>
      </c>
      <c r="AF73" s="276" t="s">
        <v>358</v>
      </c>
      <c r="AG73" s="93">
        <v>0</v>
      </c>
      <c r="AH73" s="277" t="s">
        <v>582</v>
      </c>
      <c r="AI73" s="277" t="s">
        <v>174</v>
      </c>
      <c r="AJ73" s="278">
        <v>0.034768518518518525</v>
      </c>
      <c r="AK73" s="36">
        <v>398.3159609120521</v>
      </c>
      <c r="AL73" s="277" t="s">
        <v>216</v>
      </c>
      <c r="AM73" s="277" t="s">
        <v>628</v>
      </c>
      <c r="AN73" s="188">
        <v>0.10405092592592592</v>
      </c>
      <c r="AO73" s="93">
        <v>132.8451380552221</v>
      </c>
      <c r="AP73" s="277" t="s">
        <v>216</v>
      </c>
      <c r="AQ73" s="277" t="s">
        <v>174</v>
      </c>
      <c r="AR73" s="188">
        <v>0.034583333333333334</v>
      </c>
      <c r="AS73" s="93">
        <v>356.12903225806457</v>
      </c>
      <c r="AT73" s="274"/>
      <c r="AU73" s="274"/>
      <c r="AV73" s="273"/>
      <c r="AW73" s="93"/>
      <c r="AX73" s="274"/>
      <c r="AY73" s="274"/>
      <c r="AZ73" s="275"/>
      <c r="BA73" s="93"/>
      <c r="BB73" s="274"/>
      <c r="BC73" s="274"/>
      <c r="BD73" s="275"/>
      <c r="BE73" s="93"/>
      <c r="BF73" s="277"/>
      <c r="BG73" s="277"/>
      <c r="BH73" s="188"/>
      <c r="BI73" s="93"/>
      <c r="BJ73" s="274"/>
      <c r="BK73" s="274"/>
      <c r="BL73" s="273"/>
      <c r="BM73" s="93"/>
      <c r="BN73" s="274"/>
      <c r="BO73" s="274"/>
      <c r="BP73" s="273"/>
      <c r="BQ73" s="93"/>
      <c r="BR73" s="274"/>
      <c r="BS73" s="274"/>
      <c r="BT73" s="273"/>
      <c r="BU73" s="93"/>
      <c r="BV73" s="274"/>
      <c r="BW73" s="274"/>
      <c r="BX73" s="273"/>
      <c r="BY73" s="93"/>
      <c r="BZ73" s="274"/>
      <c r="CA73" s="274"/>
      <c r="CB73" s="273"/>
      <c r="CC73" s="93"/>
      <c r="CD73" s="277" t="s">
        <v>216</v>
      </c>
      <c r="CE73" s="277" t="s">
        <v>174</v>
      </c>
      <c r="CF73" s="279">
        <v>0.07008101851851851</v>
      </c>
      <c r="CG73" s="93">
        <v>558.0743565300287</v>
      </c>
      <c r="CH73" s="274"/>
      <c r="CI73" s="274"/>
      <c r="CJ73" s="273"/>
      <c r="CK73" s="93"/>
      <c r="CL73" s="274"/>
      <c r="CM73" s="274"/>
      <c r="CN73" s="273"/>
      <c r="CO73" s="93"/>
      <c r="CP73" s="274"/>
      <c r="CQ73" s="274"/>
      <c r="CR73" s="273"/>
      <c r="CS73" s="93"/>
      <c r="CT73" s="274"/>
      <c r="CU73" s="274"/>
      <c r="CV73" s="273"/>
      <c r="CW73" s="93"/>
      <c r="CX73" s="274"/>
      <c r="CY73" s="274"/>
      <c r="CZ73" s="273"/>
      <c r="DA73" s="93"/>
      <c r="DB73" s="274"/>
      <c r="DC73" s="274"/>
      <c r="DD73" s="273"/>
      <c r="DE73" s="93"/>
    </row>
    <row r="74" spans="1:109" ht="12.75">
      <c r="A74" s="253">
        <v>62</v>
      </c>
      <c r="B74" s="265" t="s">
        <v>630</v>
      </c>
      <c r="C74" s="193" t="s">
        <v>10</v>
      </c>
      <c r="D74" s="193" t="s">
        <v>19</v>
      </c>
      <c r="E74" s="193" t="s">
        <v>359</v>
      </c>
      <c r="F74" s="548">
        <v>2005</v>
      </c>
      <c r="G74" s="255">
        <f t="shared" si="1"/>
        <v>1404.8451937921075</v>
      </c>
      <c r="H74" s="256">
        <f t="shared" si="2"/>
        <v>1404.8451937921075</v>
      </c>
      <c r="I74" s="257">
        <v>9</v>
      </c>
      <c r="J74" s="289"/>
      <c r="K74" s="277"/>
      <c r="L74" s="276"/>
      <c r="M74" s="35"/>
      <c r="N74" s="277"/>
      <c r="O74" s="277"/>
      <c r="P74" s="276"/>
      <c r="Q74" s="35"/>
      <c r="R74" s="277"/>
      <c r="S74" s="277"/>
      <c r="T74" s="278"/>
      <c r="U74" s="36"/>
      <c r="V74" s="277"/>
      <c r="W74" s="277"/>
      <c r="X74" s="276"/>
      <c r="Y74" s="290"/>
      <c r="Z74" s="277"/>
      <c r="AA74" s="188"/>
      <c r="AB74" s="188"/>
      <c r="AC74" s="93"/>
      <c r="AD74" s="277"/>
      <c r="AE74" s="188"/>
      <c r="AF74" s="188"/>
      <c r="AG74" s="93"/>
      <c r="AH74" s="277"/>
      <c r="AI74" s="188"/>
      <c r="AJ74" s="188"/>
      <c r="AK74" s="93"/>
      <c r="AL74" s="277" t="s">
        <v>216</v>
      </c>
      <c r="AM74" s="277" t="s">
        <v>628</v>
      </c>
      <c r="AN74" s="188">
        <v>0.08530092592592592</v>
      </c>
      <c r="AO74" s="93">
        <v>346.7707082833134</v>
      </c>
      <c r="AP74" s="277" t="s">
        <v>216</v>
      </c>
      <c r="AQ74" s="277" t="s">
        <v>174</v>
      </c>
      <c r="AR74" s="188">
        <v>0.0437962962962963</v>
      </c>
      <c r="AS74" s="93">
        <v>99.35483870967734</v>
      </c>
      <c r="AT74" s="274"/>
      <c r="AU74" s="274"/>
      <c r="AV74" s="273"/>
      <c r="AW74" s="93"/>
      <c r="AX74" s="274"/>
      <c r="AY74" s="274"/>
      <c r="AZ74" s="275"/>
      <c r="BA74" s="93"/>
      <c r="BB74" s="274"/>
      <c r="BC74" s="274"/>
      <c r="BD74" s="275"/>
      <c r="BE74" s="93"/>
      <c r="BF74" s="277" t="s">
        <v>752</v>
      </c>
      <c r="BG74" s="277" t="s">
        <v>4</v>
      </c>
      <c r="BH74" s="188">
        <v>0.07027777777777779</v>
      </c>
      <c r="BI74" s="93">
        <v>10</v>
      </c>
      <c r="BJ74" s="277" t="s">
        <v>752</v>
      </c>
      <c r="BK74" s="277" t="s">
        <v>4</v>
      </c>
      <c r="BL74" s="188">
        <v>0.024814814814814817</v>
      </c>
      <c r="BM74" s="93">
        <v>10</v>
      </c>
      <c r="BN74" s="277" t="s">
        <v>752</v>
      </c>
      <c r="BO74" s="277" t="s">
        <v>4</v>
      </c>
      <c r="BP74" s="188">
        <v>0.09483796296296297</v>
      </c>
      <c r="BQ74" s="93">
        <v>10</v>
      </c>
      <c r="BR74" s="277" t="s">
        <v>752</v>
      </c>
      <c r="BS74" s="277" t="s">
        <v>4</v>
      </c>
      <c r="BT74" s="188">
        <v>0.07232638888888888</v>
      </c>
      <c r="BU74" s="93">
        <v>10</v>
      </c>
      <c r="BV74" s="274"/>
      <c r="BW74" s="274"/>
      <c r="BX74" s="273"/>
      <c r="BY74" s="93"/>
      <c r="BZ74" s="274"/>
      <c r="CA74" s="274"/>
      <c r="CB74" s="273"/>
      <c r="CC74" s="93"/>
      <c r="CD74" s="277" t="s">
        <v>216</v>
      </c>
      <c r="CE74" s="277" t="s">
        <v>174</v>
      </c>
      <c r="CF74" s="279">
        <v>0.06070601851851851</v>
      </c>
      <c r="CG74" s="93">
        <v>660</v>
      </c>
      <c r="CH74" s="274" t="s">
        <v>833</v>
      </c>
      <c r="CI74" s="274" t="s">
        <v>4</v>
      </c>
      <c r="CJ74" s="273">
        <v>0.01758101851851852</v>
      </c>
      <c r="CK74" s="93">
        <v>258.7196467991168</v>
      </c>
      <c r="CL74" s="274" t="s">
        <v>833</v>
      </c>
      <c r="CM74" s="274" t="s">
        <v>4</v>
      </c>
      <c r="CN74" s="273" t="s">
        <v>358</v>
      </c>
      <c r="CO74" s="93">
        <v>0</v>
      </c>
      <c r="CP74" s="274"/>
      <c r="CQ74" s="274"/>
      <c r="CR74" s="273"/>
      <c r="CS74" s="93"/>
      <c r="CT74" s="274"/>
      <c r="CU74" s="274"/>
      <c r="CV74" s="273"/>
      <c r="CW74" s="93"/>
      <c r="CX74" s="274"/>
      <c r="CY74" s="274"/>
      <c r="CZ74" s="273"/>
      <c r="DA74" s="93"/>
      <c r="DB74" s="274"/>
      <c r="DC74" s="274"/>
      <c r="DD74" s="273"/>
      <c r="DE74" s="93"/>
    </row>
    <row r="75" spans="1:109" ht="12.75">
      <c r="A75" s="253">
        <v>63</v>
      </c>
      <c r="B75" s="265" t="s">
        <v>487</v>
      </c>
      <c r="C75" s="193" t="s">
        <v>488</v>
      </c>
      <c r="D75" s="193" t="s">
        <v>489</v>
      </c>
      <c r="F75" s="190"/>
      <c r="G75" s="255">
        <f aca="true" t="shared" si="3" ref="G75:G93">H75</f>
        <v>1261.3464638979817</v>
      </c>
      <c r="H75" s="256">
        <f t="shared" si="2"/>
        <v>1261.3464638979817</v>
      </c>
      <c r="I75" s="257">
        <v>3</v>
      </c>
      <c r="J75" s="280"/>
      <c r="K75" s="274"/>
      <c r="L75" s="281"/>
      <c r="M75" s="93"/>
      <c r="N75" s="274"/>
      <c r="O75" s="274"/>
      <c r="P75" s="281"/>
      <c r="Q75" s="93"/>
      <c r="R75" s="274"/>
      <c r="S75" s="274"/>
      <c r="T75" s="281"/>
      <c r="U75" s="93"/>
      <c r="V75" s="277"/>
      <c r="W75" s="277"/>
      <c r="X75" s="276"/>
      <c r="Y75" s="93"/>
      <c r="Z75" s="274" t="s">
        <v>493</v>
      </c>
      <c r="AA75" s="274" t="s">
        <v>3</v>
      </c>
      <c r="AB75" s="276" t="s">
        <v>358</v>
      </c>
      <c r="AC75" s="36">
        <v>0</v>
      </c>
      <c r="AD75" s="274" t="s">
        <v>493</v>
      </c>
      <c r="AE75" s="274" t="s">
        <v>3</v>
      </c>
      <c r="AF75" s="188">
        <v>0.08006944444444444</v>
      </c>
      <c r="AG75" s="36">
        <v>580.0376647834273</v>
      </c>
      <c r="AH75" s="274" t="s">
        <v>493</v>
      </c>
      <c r="AI75" s="274" t="s">
        <v>3</v>
      </c>
      <c r="AJ75" s="188">
        <v>0.0565162037037037</v>
      </c>
      <c r="AK75" s="36">
        <v>681.3087991145545</v>
      </c>
      <c r="AL75" s="277"/>
      <c r="AM75" s="277"/>
      <c r="AN75" s="188"/>
      <c r="AO75" s="93"/>
      <c r="AP75" s="277"/>
      <c r="AQ75" s="277"/>
      <c r="AR75" s="188"/>
      <c r="AS75" s="93"/>
      <c r="AT75" s="274"/>
      <c r="AU75" s="274"/>
      <c r="AV75" s="273"/>
      <c r="AW75" s="93"/>
      <c r="AX75" s="274"/>
      <c r="AY75" s="274"/>
      <c r="AZ75" s="275"/>
      <c r="BA75" s="93"/>
      <c r="BB75" s="274"/>
      <c r="BC75" s="274"/>
      <c r="BD75" s="273"/>
      <c r="BE75" s="93"/>
      <c r="BF75" s="277"/>
      <c r="BG75" s="277"/>
      <c r="BH75" s="188"/>
      <c r="BI75" s="93"/>
      <c r="BJ75" s="274"/>
      <c r="BK75" s="274"/>
      <c r="BL75" s="273"/>
      <c r="BM75" s="93"/>
      <c r="BN75" s="274"/>
      <c r="BO75" s="274"/>
      <c r="BP75" s="281"/>
      <c r="BQ75" s="93"/>
      <c r="BR75" s="274"/>
      <c r="BS75" s="274"/>
      <c r="BT75" s="281"/>
      <c r="BU75" s="93"/>
      <c r="BV75" s="274"/>
      <c r="BW75" s="274"/>
      <c r="BX75" s="275"/>
      <c r="BY75" s="93"/>
      <c r="BZ75" s="274"/>
      <c r="CA75" s="274"/>
      <c r="CB75" s="275"/>
      <c r="CC75" s="93"/>
      <c r="CD75" s="277"/>
      <c r="CE75" s="277"/>
      <c r="CF75" s="188"/>
      <c r="CG75" s="93"/>
      <c r="CH75" s="274"/>
      <c r="CI75" s="274"/>
      <c r="CJ75" s="273"/>
      <c r="CK75" s="93"/>
      <c r="CL75" s="274"/>
      <c r="CM75" s="274"/>
      <c r="CN75" s="273"/>
      <c r="CO75" s="93"/>
      <c r="CP75" s="274"/>
      <c r="CQ75" s="274"/>
      <c r="CR75" s="273"/>
      <c r="CS75" s="93"/>
      <c r="CT75" s="274"/>
      <c r="CU75" s="274"/>
      <c r="CV75" s="273"/>
      <c r="CW75" s="93"/>
      <c r="CX75" s="274"/>
      <c r="CY75" s="274"/>
      <c r="CZ75" s="273"/>
      <c r="DA75" s="93"/>
      <c r="DB75" s="274"/>
      <c r="DC75" s="274"/>
      <c r="DD75" s="273"/>
      <c r="DE75" s="93"/>
    </row>
    <row r="76" spans="1:109" ht="12.75">
      <c r="A76" s="253">
        <v>64</v>
      </c>
      <c r="B76" s="264" t="s">
        <v>100</v>
      </c>
      <c r="C76" s="193" t="s">
        <v>10</v>
      </c>
      <c r="D76" s="193" t="s">
        <v>101</v>
      </c>
      <c r="F76" s="190">
        <v>1981</v>
      </c>
      <c r="G76" s="255">
        <f t="shared" si="3"/>
        <v>1119.932702149794</v>
      </c>
      <c r="H76" s="256">
        <f t="shared" si="2"/>
        <v>1119.932702149794</v>
      </c>
      <c r="I76" s="257">
        <v>3</v>
      </c>
      <c r="J76" s="274"/>
      <c r="K76" s="274"/>
      <c r="L76" s="275"/>
      <c r="M76" s="284"/>
      <c r="N76" s="274"/>
      <c r="O76" s="274"/>
      <c r="P76" s="275"/>
      <c r="Q76" s="93"/>
      <c r="R76" s="274"/>
      <c r="S76" s="274"/>
      <c r="T76" s="275"/>
      <c r="U76" s="93"/>
      <c r="V76" s="274"/>
      <c r="W76" s="274"/>
      <c r="X76" s="275"/>
      <c r="Y76" s="93"/>
      <c r="Z76" s="274"/>
      <c r="AA76" s="274"/>
      <c r="AB76" s="275"/>
      <c r="AC76" s="93"/>
      <c r="AD76" s="274"/>
      <c r="AE76" s="274"/>
      <c r="AF76" s="275"/>
      <c r="AG76" s="93"/>
      <c r="AH76" s="274"/>
      <c r="AI76" s="274"/>
      <c r="AJ76" s="281"/>
      <c r="AK76" s="291"/>
      <c r="AL76" s="277"/>
      <c r="AM76" s="277"/>
      <c r="AN76" s="188"/>
      <c r="AO76" s="93"/>
      <c r="AP76" s="277"/>
      <c r="AQ76" s="277"/>
      <c r="AR76" s="188"/>
      <c r="AS76" s="93"/>
      <c r="AT76" s="277"/>
      <c r="AU76" s="277"/>
      <c r="AV76" s="188"/>
      <c r="AW76" s="36"/>
      <c r="AX76" s="277"/>
      <c r="AY76" s="277"/>
      <c r="AZ76" s="188"/>
      <c r="BA76" s="36"/>
      <c r="BB76" s="277"/>
      <c r="BC76" s="277"/>
      <c r="BD76" s="188"/>
      <c r="BE76" s="36"/>
      <c r="BF76" s="277" t="s">
        <v>754</v>
      </c>
      <c r="BG76" s="277" t="s">
        <v>4</v>
      </c>
      <c r="BH76" s="188">
        <v>0.045347222222222226</v>
      </c>
      <c r="BI76" s="93">
        <v>220.42253521126725</v>
      </c>
      <c r="BJ76" s="277" t="s">
        <v>754</v>
      </c>
      <c r="BK76" s="277" t="s">
        <v>4</v>
      </c>
      <c r="BL76" s="188">
        <v>0.016076388888888887</v>
      </c>
      <c r="BM76" s="93">
        <v>403.8751345532832</v>
      </c>
      <c r="BN76" s="277" t="s">
        <v>754</v>
      </c>
      <c r="BO76" s="277" t="s">
        <v>4</v>
      </c>
      <c r="BP76" s="188">
        <v>0.056736111111111105</v>
      </c>
      <c r="BQ76" s="93">
        <v>495.6350323852437</v>
      </c>
      <c r="BR76" s="277"/>
      <c r="BS76" s="277"/>
      <c r="BT76" s="277"/>
      <c r="BU76" s="93"/>
      <c r="BV76" s="277"/>
      <c r="BW76" s="277"/>
      <c r="BX76" s="188"/>
      <c r="BY76" s="36"/>
      <c r="BZ76" s="277"/>
      <c r="CA76" s="277"/>
      <c r="CB76" s="188"/>
      <c r="CC76" s="36"/>
      <c r="CD76" s="277"/>
      <c r="CE76" s="277"/>
      <c r="CF76" s="188"/>
      <c r="CG76" s="93"/>
      <c r="CH76" s="274"/>
      <c r="CI76" s="274"/>
      <c r="CJ76" s="273"/>
      <c r="CK76" s="93"/>
      <c r="CL76" s="274"/>
      <c r="CM76" s="274"/>
      <c r="CN76" s="273"/>
      <c r="CO76" s="93"/>
      <c r="CP76" s="274"/>
      <c r="CQ76" s="274"/>
      <c r="CR76" s="273"/>
      <c r="CS76" s="93"/>
      <c r="CT76" s="274"/>
      <c r="CU76" s="274"/>
      <c r="CV76" s="273"/>
      <c r="CW76" s="93"/>
      <c r="CX76" s="274"/>
      <c r="CY76" s="274"/>
      <c r="CZ76" s="273"/>
      <c r="DA76" s="93"/>
      <c r="DB76" s="274"/>
      <c r="DC76" s="274"/>
      <c r="DD76" s="273"/>
      <c r="DE76" s="93"/>
    </row>
    <row r="77" spans="1:109" ht="12.75">
      <c r="A77" s="253">
        <v>65</v>
      </c>
      <c r="B77" s="259" t="s">
        <v>390</v>
      </c>
      <c r="C77" s="193" t="s">
        <v>10</v>
      </c>
      <c r="D77" s="193" t="s">
        <v>49</v>
      </c>
      <c r="F77" s="548">
        <v>1978</v>
      </c>
      <c r="G77" s="255">
        <f t="shared" si="3"/>
        <v>1115.5553144686837</v>
      </c>
      <c r="H77" s="256">
        <f t="shared" si="2"/>
        <v>1115.5553144686837</v>
      </c>
      <c r="I77" s="257">
        <v>3</v>
      </c>
      <c r="J77" s="277"/>
      <c r="K77" s="277"/>
      <c r="L77" s="276"/>
      <c r="M77" s="93"/>
      <c r="N77" s="274" t="s">
        <v>418</v>
      </c>
      <c r="O77" s="274" t="s">
        <v>3</v>
      </c>
      <c r="P77" s="278">
        <v>0.06956018518518518</v>
      </c>
      <c r="Q77" s="93">
        <v>559.0985375209781</v>
      </c>
      <c r="R77" s="274"/>
      <c r="S77" s="274"/>
      <c r="T77" s="281"/>
      <c r="U77" s="93"/>
      <c r="V77" s="274"/>
      <c r="W77" s="274"/>
      <c r="X77" s="281"/>
      <c r="Y77" s="284"/>
      <c r="Z77" s="274"/>
      <c r="AA77" s="274"/>
      <c r="AB77" s="281"/>
      <c r="AC77" s="93"/>
      <c r="AD77" s="274"/>
      <c r="AE77" s="274"/>
      <c r="AF77" s="275"/>
      <c r="AG77" s="93"/>
      <c r="AH77" s="274"/>
      <c r="AI77" s="274"/>
      <c r="AJ77" s="275"/>
      <c r="AK77" s="93"/>
      <c r="AL77" s="277" t="s">
        <v>377</v>
      </c>
      <c r="AM77" s="277" t="s">
        <v>3</v>
      </c>
      <c r="AN77" s="276" t="s">
        <v>358</v>
      </c>
      <c r="AO77" s="93">
        <v>0</v>
      </c>
      <c r="AP77" s="277" t="s">
        <v>377</v>
      </c>
      <c r="AQ77" s="277" t="s">
        <v>3</v>
      </c>
      <c r="AR77" s="188">
        <v>0.032407407407407406</v>
      </c>
      <c r="AS77" s="93">
        <v>556.4567769477056</v>
      </c>
      <c r="AT77" s="277"/>
      <c r="AU77" s="277"/>
      <c r="AV77" s="188"/>
      <c r="AW77" s="93"/>
      <c r="AX77" s="274"/>
      <c r="AY77" s="274"/>
      <c r="AZ77" s="275"/>
      <c r="BA77" s="93"/>
      <c r="BB77" s="274"/>
      <c r="BC77" s="274"/>
      <c r="BD77" s="275"/>
      <c r="BE77" s="93"/>
      <c r="BF77" s="277"/>
      <c r="BG77" s="277"/>
      <c r="BH77" s="188"/>
      <c r="BI77" s="93"/>
      <c r="BJ77" s="277"/>
      <c r="BK77" s="277"/>
      <c r="BL77" s="188"/>
      <c r="BM77" s="93"/>
      <c r="BN77" s="274"/>
      <c r="BO77" s="274"/>
      <c r="BP77" s="273"/>
      <c r="BQ77" s="93"/>
      <c r="BR77" s="274"/>
      <c r="BS77" s="274"/>
      <c r="BT77" s="273"/>
      <c r="BU77" s="93"/>
      <c r="BV77" s="274"/>
      <c r="BW77" s="274"/>
      <c r="BX77" s="273"/>
      <c r="BY77" s="93"/>
      <c r="BZ77" s="274"/>
      <c r="CA77" s="274"/>
      <c r="CB77" s="273"/>
      <c r="CC77" s="93"/>
      <c r="CD77" s="277"/>
      <c r="CE77" s="277"/>
      <c r="CF77" s="188"/>
      <c r="CG77" s="93"/>
      <c r="CH77" s="274"/>
      <c r="CI77" s="274"/>
      <c r="CJ77" s="273"/>
      <c r="CK77" s="93"/>
      <c r="CL77" s="274"/>
      <c r="CM77" s="274"/>
      <c r="CN77" s="273"/>
      <c r="CO77" s="93"/>
      <c r="CP77" s="274"/>
      <c r="CQ77" s="274"/>
      <c r="CR77" s="273"/>
      <c r="CS77" s="93"/>
      <c r="CT77" s="274"/>
      <c r="CU77" s="274"/>
      <c r="CV77" s="273"/>
      <c r="CW77" s="93"/>
      <c r="CX77" s="274"/>
      <c r="CY77" s="274"/>
      <c r="CZ77" s="273"/>
      <c r="DA77" s="93"/>
      <c r="DB77" s="274"/>
      <c r="DC77" s="274"/>
      <c r="DD77" s="273"/>
      <c r="DE77" s="93"/>
    </row>
    <row r="78" spans="1:109" ht="12.75">
      <c r="A78" s="253">
        <v>66</v>
      </c>
      <c r="B78" s="265" t="s">
        <v>389</v>
      </c>
      <c r="C78" s="193" t="s">
        <v>10</v>
      </c>
      <c r="D78" s="193" t="s">
        <v>629</v>
      </c>
      <c r="E78" s="193" t="s">
        <v>359</v>
      </c>
      <c r="F78" s="548">
        <v>2007</v>
      </c>
      <c r="G78" s="255">
        <f t="shared" si="3"/>
        <v>1103.3391555705896</v>
      </c>
      <c r="H78" s="256">
        <f aca="true" t="shared" si="4" ref="H78:H93">M78+Q78+U78+Y78+AC78+AG78+AK78+AO78+AS78+AW78+BA78+BE78+BI78+BM78+BQ78+BU78+BY78+CC78+CG78+CK78+CO78+CS78+CW78+DA78+DE78</f>
        <v>1103.3391555705896</v>
      </c>
      <c r="I78" s="257">
        <v>2</v>
      </c>
      <c r="J78" s="289"/>
      <c r="K78" s="277"/>
      <c r="L78" s="276"/>
      <c r="M78" s="35"/>
      <c r="N78" s="277"/>
      <c r="O78" s="277"/>
      <c r="P78" s="276"/>
      <c r="Q78" s="35"/>
      <c r="R78" s="277"/>
      <c r="S78" s="277"/>
      <c r="T78" s="278"/>
      <c r="U78" s="36"/>
      <c r="V78" s="277"/>
      <c r="W78" s="277"/>
      <c r="X78" s="276"/>
      <c r="Y78" s="290"/>
      <c r="Z78" s="277"/>
      <c r="AA78" s="188"/>
      <c r="AB78" s="188"/>
      <c r="AC78" s="93"/>
      <c r="AD78" s="277"/>
      <c r="AE78" s="188"/>
      <c r="AF78" s="188"/>
      <c r="AG78" s="93"/>
      <c r="AH78" s="277"/>
      <c r="AI78" s="188"/>
      <c r="AJ78" s="188"/>
      <c r="AK78" s="93"/>
      <c r="AL78" s="277"/>
      <c r="AM78" s="277"/>
      <c r="AN78" s="277"/>
      <c r="AO78" s="93"/>
      <c r="AP78" s="277" t="s">
        <v>216</v>
      </c>
      <c r="AQ78" s="277" t="s">
        <v>174</v>
      </c>
      <c r="AR78" s="188">
        <v>0.030474537037037036</v>
      </c>
      <c r="AS78" s="93">
        <v>470.6451612903226</v>
      </c>
      <c r="AT78" s="277"/>
      <c r="AU78" s="277"/>
      <c r="AV78" s="276"/>
      <c r="AW78" s="93"/>
      <c r="AX78" s="274"/>
      <c r="AY78" s="274"/>
      <c r="AZ78" s="275"/>
      <c r="BA78" s="93"/>
      <c r="BB78" s="274"/>
      <c r="BC78" s="274"/>
      <c r="BD78" s="275"/>
      <c r="BE78" s="93"/>
      <c r="BF78" s="277"/>
      <c r="BG78" s="277"/>
      <c r="BH78" s="188"/>
      <c r="BI78" s="93"/>
      <c r="BJ78" s="277"/>
      <c r="BK78" s="277"/>
      <c r="BL78" s="188"/>
      <c r="BM78" s="93"/>
      <c r="BN78" s="274"/>
      <c r="BO78" s="274"/>
      <c r="BP78" s="273"/>
      <c r="BQ78" s="93"/>
      <c r="BR78" s="274"/>
      <c r="BS78" s="274"/>
      <c r="BT78" s="273"/>
      <c r="BU78" s="93"/>
      <c r="BV78" s="274"/>
      <c r="BW78" s="274"/>
      <c r="BX78" s="273"/>
      <c r="BY78" s="93"/>
      <c r="BZ78" s="274"/>
      <c r="CA78" s="274"/>
      <c r="CB78" s="273"/>
      <c r="CC78" s="93"/>
      <c r="CD78" s="277" t="s">
        <v>216</v>
      </c>
      <c r="CE78" s="277" t="s">
        <v>174</v>
      </c>
      <c r="CF78" s="279">
        <v>0.06321759259259259</v>
      </c>
      <c r="CG78" s="93">
        <v>632.6939942802669</v>
      </c>
      <c r="CH78" s="274"/>
      <c r="CI78" s="274"/>
      <c r="CJ78" s="273"/>
      <c r="CK78" s="93"/>
      <c r="CL78" s="274"/>
      <c r="CM78" s="274"/>
      <c r="CN78" s="273"/>
      <c r="CO78" s="93"/>
      <c r="CP78" s="274"/>
      <c r="CQ78" s="274"/>
      <c r="CR78" s="273"/>
      <c r="CS78" s="93"/>
      <c r="CT78" s="274"/>
      <c r="CU78" s="274"/>
      <c r="CV78" s="273"/>
      <c r="CW78" s="93"/>
      <c r="CX78" s="274"/>
      <c r="CY78" s="274"/>
      <c r="CZ78" s="273"/>
      <c r="DA78" s="93"/>
      <c r="DB78" s="274"/>
      <c r="DC78" s="274"/>
      <c r="DD78" s="273"/>
      <c r="DE78" s="93"/>
    </row>
    <row r="79" spans="1:109" ht="12.75">
      <c r="A79" s="253">
        <v>67</v>
      </c>
      <c r="B79" s="265" t="s">
        <v>388</v>
      </c>
      <c r="C79" s="193" t="s">
        <v>10</v>
      </c>
      <c r="D79" s="193" t="s">
        <v>629</v>
      </c>
      <c r="E79" s="193" t="s">
        <v>359</v>
      </c>
      <c r="F79" s="548">
        <v>2008</v>
      </c>
      <c r="G79" s="255">
        <f t="shared" si="3"/>
        <v>958.0792152280208</v>
      </c>
      <c r="H79" s="256">
        <f t="shared" si="4"/>
        <v>958.0792152280208</v>
      </c>
      <c r="I79" s="257">
        <v>2</v>
      </c>
      <c r="J79" s="289"/>
      <c r="K79" s="277"/>
      <c r="L79" s="276"/>
      <c r="M79" s="35"/>
      <c r="N79" s="277"/>
      <c r="O79" s="277"/>
      <c r="P79" s="276"/>
      <c r="Q79" s="35"/>
      <c r="R79" s="277"/>
      <c r="S79" s="277"/>
      <c r="T79" s="278"/>
      <c r="U79" s="36"/>
      <c r="V79" s="277"/>
      <c r="W79" s="277"/>
      <c r="X79" s="276"/>
      <c r="Y79" s="290"/>
      <c r="Z79" s="277"/>
      <c r="AA79" s="188"/>
      <c r="AB79" s="188"/>
      <c r="AC79" s="93"/>
      <c r="AD79" s="277"/>
      <c r="AE79" s="188"/>
      <c r="AF79" s="188"/>
      <c r="AG79" s="93"/>
      <c r="AH79" s="277"/>
      <c r="AI79" s="188"/>
      <c r="AJ79" s="188"/>
      <c r="AK79" s="93"/>
      <c r="AL79" s="277"/>
      <c r="AM79" s="277"/>
      <c r="AN79" s="277"/>
      <c r="AO79" s="93"/>
      <c r="AP79" s="277" t="s">
        <v>216</v>
      </c>
      <c r="AQ79" s="277" t="s">
        <v>174</v>
      </c>
      <c r="AR79" s="188">
        <v>0.03327546296296296</v>
      </c>
      <c r="AS79" s="93">
        <v>392.5806451612905</v>
      </c>
      <c r="AT79" s="277"/>
      <c r="AU79" s="277"/>
      <c r="AV79" s="188"/>
      <c r="AW79" s="93"/>
      <c r="AX79" s="274"/>
      <c r="AY79" s="274"/>
      <c r="AZ79" s="275"/>
      <c r="BA79" s="93"/>
      <c r="BB79" s="274"/>
      <c r="BC79" s="274"/>
      <c r="BD79" s="275"/>
      <c r="BE79" s="93"/>
      <c r="BF79" s="277"/>
      <c r="BG79" s="277"/>
      <c r="BH79" s="188"/>
      <c r="BI79" s="93"/>
      <c r="BJ79" s="277"/>
      <c r="BK79" s="277"/>
      <c r="BL79" s="276"/>
      <c r="BM79" s="93"/>
      <c r="BN79" s="274"/>
      <c r="BO79" s="274"/>
      <c r="BP79" s="273"/>
      <c r="BQ79" s="93"/>
      <c r="BR79" s="274"/>
      <c r="BS79" s="274"/>
      <c r="BT79" s="273"/>
      <c r="BU79" s="93"/>
      <c r="BV79" s="274"/>
      <c r="BW79" s="274"/>
      <c r="BX79" s="273"/>
      <c r="BY79" s="93"/>
      <c r="BZ79" s="274"/>
      <c r="CA79" s="274"/>
      <c r="CB79" s="273"/>
      <c r="CC79" s="93"/>
      <c r="CD79" s="277" t="s">
        <v>216</v>
      </c>
      <c r="CE79" s="277" t="s">
        <v>174</v>
      </c>
      <c r="CF79" s="279">
        <v>0.06939814814814814</v>
      </c>
      <c r="CG79" s="93">
        <v>565.4985700667303</v>
      </c>
      <c r="CH79" s="274"/>
      <c r="CI79" s="274"/>
      <c r="CJ79" s="273"/>
      <c r="CK79" s="93"/>
      <c r="CL79" s="274"/>
      <c r="CM79" s="274"/>
      <c r="CN79" s="273"/>
      <c r="CO79" s="93"/>
      <c r="CP79" s="274"/>
      <c r="CQ79" s="274"/>
      <c r="CR79" s="273"/>
      <c r="CS79" s="93"/>
      <c r="CT79" s="274"/>
      <c r="CU79" s="274"/>
      <c r="CV79" s="273"/>
      <c r="CW79" s="93"/>
      <c r="CX79" s="274"/>
      <c r="CY79" s="274"/>
      <c r="CZ79" s="273"/>
      <c r="DA79" s="93"/>
      <c r="DB79" s="274"/>
      <c r="DC79" s="274"/>
      <c r="DD79" s="273"/>
      <c r="DE79" s="93"/>
    </row>
    <row r="80" spans="1:109" ht="12.75">
      <c r="A80" s="253">
        <v>68</v>
      </c>
      <c r="B80" s="265" t="s">
        <v>776</v>
      </c>
      <c r="C80" s="193" t="s">
        <v>10</v>
      </c>
      <c r="D80" s="193" t="s">
        <v>67</v>
      </c>
      <c r="F80" s="548">
        <v>1993</v>
      </c>
      <c r="G80" s="255">
        <f t="shared" si="3"/>
        <v>929.6475913352731</v>
      </c>
      <c r="H80" s="256">
        <f t="shared" si="4"/>
        <v>929.6475913352731</v>
      </c>
      <c r="I80" s="257">
        <v>1</v>
      </c>
      <c r="J80" s="289"/>
      <c r="K80" s="277"/>
      <c r="L80" s="276"/>
      <c r="M80" s="35"/>
      <c r="N80" s="277"/>
      <c r="O80" s="277"/>
      <c r="P80" s="276"/>
      <c r="Q80" s="35"/>
      <c r="R80" s="277"/>
      <c r="S80" s="277"/>
      <c r="T80" s="278"/>
      <c r="U80" s="36"/>
      <c r="V80" s="277"/>
      <c r="W80" s="277"/>
      <c r="X80" s="276"/>
      <c r="Y80" s="290"/>
      <c r="Z80" s="274"/>
      <c r="AA80" s="274"/>
      <c r="AB80" s="275"/>
      <c r="AC80" s="93"/>
      <c r="AD80" s="274"/>
      <c r="AE80" s="274"/>
      <c r="AF80" s="275"/>
      <c r="AG80" s="93"/>
      <c r="AH80" s="274"/>
      <c r="AI80" s="274"/>
      <c r="AJ80" s="275"/>
      <c r="AK80" s="35"/>
      <c r="AL80" s="277"/>
      <c r="AM80" s="277"/>
      <c r="AN80" s="188"/>
      <c r="AO80" s="36"/>
      <c r="AP80" s="277"/>
      <c r="AQ80" s="277"/>
      <c r="AR80" s="188"/>
      <c r="AS80" s="36"/>
      <c r="AT80" s="277"/>
      <c r="AU80" s="277"/>
      <c r="AV80" s="188"/>
      <c r="AW80" s="36"/>
      <c r="AX80" s="277"/>
      <c r="AY80" s="277"/>
      <c r="AZ80" s="188"/>
      <c r="BA80" s="36"/>
      <c r="BB80" s="277"/>
      <c r="BC80" s="277"/>
      <c r="BD80" s="188"/>
      <c r="BE80" s="36"/>
      <c r="BF80" s="277"/>
      <c r="BG80" s="277"/>
      <c r="BH80" s="188"/>
      <c r="BI80" s="35"/>
      <c r="BJ80" s="277"/>
      <c r="BK80" s="277"/>
      <c r="BL80" s="188"/>
      <c r="BM80" s="35"/>
      <c r="BN80" s="277"/>
      <c r="BO80" s="277"/>
      <c r="BP80" s="188"/>
      <c r="BQ80" s="35"/>
      <c r="BR80" s="277"/>
      <c r="BS80" s="277"/>
      <c r="BT80" s="188"/>
      <c r="BU80" s="36"/>
      <c r="BV80" s="277"/>
      <c r="BW80" s="277"/>
      <c r="BX80" s="188"/>
      <c r="BY80" s="36"/>
      <c r="BZ80" s="277"/>
      <c r="CA80" s="277"/>
      <c r="CB80" s="188"/>
      <c r="CC80" s="36"/>
      <c r="CD80" s="277" t="s">
        <v>237</v>
      </c>
      <c r="CE80" s="277" t="s">
        <v>3</v>
      </c>
      <c r="CF80" s="279">
        <v>0.04134259259259259</v>
      </c>
      <c r="CG80" s="93">
        <v>929.6475913352731</v>
      </c>
      <c r="CH80" s="274"/>
      <c r="CI80" s="274"/>
      <c r="CJ80" s="273"/>
      <c r="CK80" s="93"/>
      <c r="CL80" s="274"/>
      <c r="CM80" s="274"/>
      <c r="CN80" s="273"/>
      <c r="CO80" s="93"/>
      <c r="CP80" s="274"/>
      <c r="CQ80" s="274"/>
      <c r="CR80" s="273"/>
      <c r="CS80" s="93"/>
      <c r="CT80" s="274"/>
      <c r="CU80" s="274"/>
      <c r="CV80" s="273"/>
      <c r="CW80" s="93"/>
      <c r="CX80" s="274"/>
      <c r="CY80" s="274"/>
      <c r="CZ80" s="273"/>
      <c r="DA80" s="93"/>
      <c r="DB80" s="274"/>
      <c r="DC80" s="274"/>
      <c r="DD80" s="273"/>
      <c r="DE80" s="93"/>
    </row>
    <row r="81" spans="1:109" ht="12.75">
      <c r="A81" s="253">
        <v>69</v>
      </c>
      <c r="B81" s="265" t="s">
        <v>480</v>
      </c>
      <c r="C81" s="193" t="s">
        <v>481</v>
      </c>
      <c r="D81" s="193" t="s">
        <v>482</v>
      </c>
      <c r="F81" s="548"/>
      <c r="G81" s="255">
        <f t="shared" si="3"/>
        <v>922.2605694564278</v>
      </c>
      <c r="H81" s="256">
        <f t="shared" si="4"/>
        <v>922.2605694564278</v>
      </c>
      <c r="I81" s="257">
        <v>3</v>
      </c>
      <c r="J81" s="280"/>
      <c r="K81" s="274"/>
      <c r="L81" s="281"/>
      <c r="M81" s="93"/>
      <c r="N81" s="274"/>
      <c r="O81" s="274"/>
      <c r="P81" s="281"/>
      <c r="Q81" s="93"/>
      <c r="R81" s="274"/>
      <c r="S81" s="274"/>
      <c r="T81" s="281"/>
      <c r="U81" s="93"/>
      <c r="V81" s="277"/>
      <c r="W81" s="277"/>
      <c r="X81" s="276"/>
      <c r="Y81" s="93"/>
      <c r="Z81" s="274" t="s">
        <v>493</v>
      </c>
      <c r="AA81" s="274" t="s">
        <v>3</v>
      </c>
      <c r="AB81" s="188">
        <v>0.015046296296296295</v>
      </c>
      <c r="AC81" s="36">
        <v>922.2605694564278</v>
      </c>
      <c r="AD81" s="274" t="s">
        <v>493</v>
      </c>
      <c r="AE81" s="274" t="s">
        <v>3</v>
      </c>
      <c r="AF81" s="276" t="s">
        <v>358</v>
      </c>
      <c r="AG81" s="36">
        <v>0</v>
      </c>
      <c r="AH81" s="274" t="s">
        <v>493</v>
      </c>
      <c r="AI81" s="274" t="s">
        <v>3</v>
      </c>
      <c r="AJ81" s="276" t="s">
        <v>358</v>
      </c>
      <c r="AK81" s="36">
        <v>0</v>
      </c>
      <c r="AL81" s="277"/>
      <c r="AM81" s="277"/>
      <c r="AN81" s="188"/>
      <c r="AO81" s="93"/>
      <c r="AP81" s="277"/>
      <c r="AQ81" s="277"/>
      <c r="AR81" s="188"/>
      <c r="AS81" s="93"/>
      <c r="AT81" s="274"/>
      <c r="AU81" s="274"/>
      <c r="AV81" s="273"/>
      <c r="AW81" s="93"/>
      <c r="AX81" s="274"/>
      <c r="AY81" s="274"/>
      <c r="AZ81" s="275"/>
      <c r="BA81" s="93"/>
      <c r="BB81" s="274"/>
      <c r="BC81" s="274"/>
      <c r="BD81" s="275"/>
      <c r="BE81" s="93"/>
      <c r="BF81" s="277"/>
      <c r="BG81" s="277"/>
      <c r="BH81" s="188"/>
      <c r="BI81" s="93"/>
      <c r="BJ81" s="277"/>
      <c r="BK81" s="277"/>
      <c r="BL81" s="188"/>
      <c r="BM81" s="93"/>
      <c r="BN81" s="274"/>
      <c r="BO81" s="274"/>
      <c r="BP81" s="273"/>
      <c r="BQ81" s="93"/>
      <c r="BR81" s="274"/>
      <c r="BS81" s="274"/>
      <c r="BT81" s="273"/>
      <c r="BU81" s="93"/>
      <c r="BV81" s="274"/>
      <c r="BW81" s="274"/>
      <c r="BX81" s="273"/>
      <c r="BY81" s="93"/>
      <c r="BZ81" s="274"/>
      <c r="CA81" s="274"/>
      <c r="CB81" s="273"/>
      <c r="CC81" s="93"/>
      <c r="CD81" s="277"/>
      <c r="CE81" s="277"/>
      <c r="CF81" s="188"/>
      <c r="CG81" s="93"/>
      <c r="CH81" s="274"/>
      <c r="CI81" s="274"/>
      <c r="CJ81" s="273"/>
      <c r="CK81" s="93"/>
      <c r="CL81" s="274"/>
      <c r="CM81" s="274"/>
      <c r="CN81" s="273"/>
      <c r="CO81" s="93"/>
      <c r="CP81" s="274"/>
      <c r="CQ81" s="274"/>
      <c r="CR81" s="273"/>
      <c r="CS81" s="93"/>
      <c r="CT81" s="274"/>
      <c r="CU81" s="274"/>
      <c r="CV81" s="273"/>
      <c r="CW81" s="93"/>
      <c r="CX81" s="274"/>
      <c r="CY81" s="274"/>
      <c r="CZ81" s="273"/>
      <c r="DA81" s="93"/>
      <c r="DB81" s="274"/>
      <c r="DC81" s="274"/>
      <c r="DD81" s="273"/>
      <c r="DE81" s="93"/>
    </row>
    <row r="82" spans="1:109" ht="12.75">
      <c r="A82" s="253">
        <v>70</v>
      </c>
      <c r="B82" s="265" t="s">
        <v>634</v>
      </c>
      <c r="C82" s="192" t="s">
        <v>10</v>
      </c>
      <c r="D82" s="268" t="s">
        <v>74</v>
      </c>
      <c r="F82" s="549">
        <v>1991</v>
      </c>
      <c r="G82" s="255">
        <f t="shared" si="3"/>
        <v>877.8499044732462</v>
      </c>
      <c r="H82" s="256">
        <f t="shared" si="4"/>
        <v>877.8499044732462</v>
      </c>
      <c r="I82" s="257">
        <v>2</v>
      </c>
      <c r="J82" s="289"/>
      <c r="K82" s="277"/>
      <c r="L82" s="276"/>
      <c r="M82" s="35"/>
      <c r="N82" s="277"/>
      <c r="O82" s="277"/>
      <c r="P82" s="276"/>
      <c r="Q82" s="35"/>
      <c r="R82" s="277"/>
      <c r="S82" s="277"/>
      <c r="T82" s="278"/>
      <c r="U82" s="36"/>
      <c r="V82" s="277"/>
      <c r="W82" s="277"/>
      <c r="X82" s="276"/>
      <c r="Y82" s="290"/>
      <c r="Z82" s="277"/>
      <c r="AA82" s="188"/>
      <c r="AB82" s="188"/>
      <c r="AC82" s="93"/>
      <c r="AD82" s="277"/>
      <c r="AE82" s="188"/>
      <c r="AF82" s="188"/>
      <c r="AG82" s="93"/>
      <c r="AH82" s="277"/>
      <c r="AI82" s="188"/>
      <c r="AJ82" s="188"/>
      <c r="AK82" s="93"/>
      <c r="AL82" s="277"/>
      <c r="AM82" s="277"/>
      <c r="AN82" s="277"/>
      <c r="AO82" s="93"/>
      <c r="AP82" s="277" t="s">
        <v>377</v>
      </c>
      <c r="AQ82" s="277" t="s">
        <v>3</v>
      </c>
      <c r="AR82" s="188">
        <v>0.03243055555555556</v>
      </c>
      <c r="AS82" s="93">
        <v>555.2828175026677</v>
      </c>
      <c r="AT82" s="274"/>
      <c r="AU82" s="274"/>
      <c r="AV82" s="273"/>
      <c r="AW82" s="93"/>
      <c r="AX82" s="274"/>
      <c r="AY82" s="274"/>
      <c r="AZ82" s="275"/>
      <c r="BA82" s="93"/>
      <c r="BB82" s="274"/>
      <c r="BC82" s="274"/>
      <c r="BD82" s="275"/>
      <c r="BE82" s="93"/>
      <c r="BF82" s="277"/>
      <c r="BG82" s="277"/>
      <c r="BH82" s="188"/>
      <c r="BI82" s="93"/>
      <c r="BJ82" s="274"/>
      <c r="BK82" s="274"/>
      <c r="BL82" s="273"/>
      <c r="BM82" s="93"/>
      <c r="BN82" s="274"/>
      <c r="BO82" s="274"/>
      <c r="BP82" s="273"/>
      <c r="BQ82" s="93"/>
      <c r="BR82" s="274"/>
      <c r="BS82" s="274"/>
      <c r="BT82" s="273"/>
      <c r="BU82" s="93"/>
      <c r="BV82" s="274"/>
      <c r="BW82" s="274"/>
      <c r="BX82" s="273"/>
      <c r="BY82" s="93"/>
      <c r="BZ82" s="274"/>
      <c r="CA82" s="274"/>
      <c r="CB82" s="273"/>
      <c r="CC82" s="93"/>
      <c r="CD82" s="277" t="s">
        <v>237</v>
      </c>
      <c r="CE82" s="277" t="s">
        <v>3</v>
      </c>
      <c r="CF82" s="188">
        <v>0.06109953703703704</v>
      </c>
      <c r="CG82" s="93">
        <v>322.5670869705785</v>
      </c>
      <c r="CH82" s="274"/>
      <c r="CI82" s="274"/>
      <c r="CJ82" s="273"/>
      <c r="CK82" s="93"/>
      <c r="CL82" s="274"/>
      <c r="CM82" s="274"/>
      <c r="CN82" s="273"/>
      <c r="CO82" s="93"/>
      <c r="CP82" s="274"/>
      <c r="CQ82" s="274"/>
      <c r="CR82" s="273"/>
      <c r="CS82" s="93"/>
      <c r="CT82" s="274"/>
      <c r="CU82" s="274"/>
      <c r="CV82" s="273"/>
      <c r="CW82" s="93"/>
      <c r="CX82" s="274"/>
      <c r="CY82" s="274"/>
      <c r="CZ82" s="273"/>
      <c r="DA82" s="93"/>
      <c r="DB82" s="274"/>
      <c r="DC82" s="274"/>
      <c r="DD82" s="273"/>
      <c r="DE82" s="93"/>
    </row>
    <row r="83" spans="1:109" ht="12.75">
      <c r="A83" s="253">
        <v>71</v>
      </c>
      <c r="B83" s="265" t="s">
        <v>483</v>
      </c>
      <c r="C83" s="193" t="s">
        <v>473</v>
      </c>
      <c r="D83" s="193" t="s">
        <v>474</v>
      </c>
      <c r="F83" s="549"/>
      <c r="G83" s="255">
        <f t="shared" si="3"/>
        <v>822.6056945642795</v>
      </c>
      <c r="H83" s="256">
        <f t="shared" si="4"/>
        <v>822.6056945642795</v>
      </c>
      <c r="I83" s="257">
        <v>2</v>
      </c>
      <c r="J83" s="280"/>
      <c r="K83" s="274"/>
      <c r="L83" s="281"/>
      <c r="M83" s="93"/>
      <c r="N83" s="274"/>
      <c r="O83" s="274"/>
      <c r="P83" s="281"/>
      <c r="Q83" s="93"/>
      <c r="R83" s="274"/>
      <c r="S83" s="274"/>
      <c r="T83" s="281"/>
      <c r="U83" s="93"/>
      <c r="V83" s="277"/>
      <c r="W83" s="277"/>
      <c r="X83" s="276"/>
      <c r="Y83" s="93"/>
      <c r="Z83" s="274" t="s">
        <v>493</v>
      </c>
      <c r="AA83" s="274" t="s">
        <v>3</v>
      </c>
      <c r="AB83" s="188">
        <v>0.016319444444444445</v>
      </c>
      <c r="AC83" s="36">
        <v>822.6056945642795</v>
      </c>
      <c r="AD83" s="274" t="s">
        <v>493</v>
      </c>
      <c r="AE83" s="274" t="s">
        <v>3</v>
      </c>
      <c r="AF83" s="277" t="s">
        <v>358</v>
      </c>
      <c r="AG83" s="36">
        <v>0</v>
      </c>
      <c r="AH83" s="277"/>
      <c r="AI83" s="277"/>
      <c r="AJ83" s="277"/>
      <c r="AK83" s="36"/>
      <c r="AL83" s="277"/>
      <c r="AM83" s="277"/>
      <c r="AN83" s="188"/>
      <c r="AO83" s="93"/>
      <c r="AP83" s="277"/>
      <c r="AQ83" s="277"/>
      <c r="AR83" s="188"/>
      <c r="AS83" s="93"/>
      <c r="AT83" s="277"/>
      <c r="AU83" s="277"/>
      <c r="AV83" s="188"/>
      <c r="AW83" s="93"/>
      <c r="AX83" s="274"/>
      <c r="AY83" s="274"/>
      <c r="AZ83" s="275"/>
      <c r="BA83" s="93"/>
      <c r="BB83" s="274"/>
      <c r="BC83" s="274"/>
      <c r="BD83" s="275"/>
      <c r="BE83" s="93"/>
      <c r="BF83" s="277"/>
      <c r="BG83" s="277"/>
      <c r="BH83" s="276"/>
      <c r="BI83" s="93"/>
      <c r="BJ83" s="274"/>
      <c r="BK83" s="274"/>
      <c r="BL83" s="273"/>
      <c r="BM83" s="93"/>
      <c r="BN83" s="274"/>
      <c r="BO83" s="274"/>
      <c r="BP83" s="281"/>
      <c r="BQ83" s="93"/>
      <c r="BR83" s="274"/>
      <c r="BS83" s="274"/>
      <c r="BT83" s="281"/>
      <c r="BU83" s="93"/>
      <c r="BV83" s="274"/>
      <c r="BW83" s="274"/>
      <c r="BX83" s="275"/>
      <c r="BY83" s="93"/>
      <c r="BZ83" s="274"/>
      <c r="CA83" s="274"/>
      <c r="CB83" s="275"/>
      <c r="CC83" s="93"/>
      <c r="CD83" s="277"/>
      <c r="CE83" s="277"/>
      <c r="CF83" s="188"/>
      <c r="CG83" s="93"/>
      <c r="CH83" s="274"/>
      <c r="CI83" s="274"/>
      <c r="CJ83" s="273"/>
      <c r="CK83" s="93"/>
      <c r="CL83" s="274"/>
      <c r="CM83" s="274"/>
      <c r="CN83" s="273"/>
      <c r="CO83" s="93"/>
      <c r="CP83" s="274"/>
      <c r="CQ83" s="274"/>
      <c r="CR83" s="273"/>
      <c r="CS83" s="93"/>
      <c r="CT83" s="274"/>
      <c r="CU83" s="274"/>
      <c r="CV83" s="273"/>
      <c r="CW83" s="93"/>
      <c r="CX83" s="274"/>
      <c r="CY83" s="274"/>
      <c r="CZ83" s="273"/>
      <c r="DA83" s="93"/>
      <c r="DB83" s="274"/>
      <c r="DC83" s="274"/>
      <c r="DD83" s="273"/>
      <c r="DE83" s="93"/>
    </row>
    <row r="84" spans="1:109" ht="12.75">
      <c r="A84" s="253">
        <v>72</v>
      </c>
      <c r="B84" s="265" t="s">
        <v>603</v>
      </c>
      <c r="C84" s="193" t="s">
        <v>470</v>
      </c>
      <c r="D84" s="193" t="s">
        <v>471</v>
      </c>
      <c r="F84" s="549"/>
      <c r="G84" s="255">
        <f t="shared" si="3"/>
        <v>818.177599009901</v>
      </c>
      <c r="H84" s="256">
        <f t="shared" si="4"/>
        <v>818.177599009901</v>
      </c>
      <c r="I84" s="257">
        <v>3</v>
      </c>
      <c r="J84" s="289"/>
      <c r="K84" s="277"/>
      <c r="L84" s="276"/>
      <c r="M84" s="35"/>
      <c r="N84" s="277"/>
      <c r="O84" s="277"/>
      <c r="P84" s="276"/>
      <c r="Q84" s="93"/>
      <c r="R84" s="274"/>
      <c r="S84" s="274"/>
      <c r="T84" s="281"/>
      <c r="U84" s="93"/>
      <c r="V84" s="277"/>
      <c r="W84" s="277"/>
      <c r="X84" s="276"/>
      <c r="Y84" s="93"/>
      <c r="Z84" s="277" t="s">
        <v>584</v>
      </c>
      <c r="AA84" s="188" t="s">
        <v>4</v>
      </c>
      <c r="AB84" s="276" t="s">
        <v>358</v>
      </c>
      <c r="AC84" s="93">
        <v>0</v>
      </c>
      <c r="AD84" s="277" t="s">
        <v>584</v>
      </c>
      <c r="AE84" s="188" t="s">
        <v>4</v>
      </c>
      <c r="AF84" s="188">
        <v>0.07091435185185185</v>
      </c>
      <c r="AG84" s="93">
        <v>818.177599009901</v>
      </c>
      <c r="AH84" s="277" t="s">
        <v>584</v>
      </c>
      <c r="AI84" s="188" t="s">
        <v>4</v>
      </c>
      <c r="AJ84" s="276" t="s">
        <v>358</v>
      </c>
      <c r="AK84" s="93">
        <v>0</v>
      </c>
      <c r="AL84" s="277"/>
      <c r="AM84" s="277"/>
      <c r="AN84" s="188"/>
      <c r="AO84" s="93"/>
      <c r="AP84" s="277"/>
      <c r="AQ84" s="277"/>
      <c r="AR84" s="188"/>
      <c r="AS84" s="93"/>
      <c r="AT84" s="274"/>
      <c r="AU84" s="274"/>
      <c r="AV84" s="273"/>
      <c r="AW84" s="93"/>
      <c r="AX84" s="274"/>
      <c r="AY84" s="274"/>
      <c r="AZ84" s="275"/>
      <c r="BA84" s="93"/>
      <c r="BB84" s="274"/>
      <c r="BC84" s="274"/>
      <c r="BD84" s="273"/>
      <c r="BE84" s="93"/>
      <c r="BF84" s="277"/>
      <c r="BG84" s="277"/>
      <c r="BH84" s="188"/>
      <c r="BI84" s="93"/>
      <c r="BJ84" s="274"/>
      <c r="BK84" s="274"/>
      <c r="BL84" s="281"/>
      <c r="BM84" s="93"/>
      <c r="BN84" s="274"/>
      <c r="BO84" s="274"/>
      <c r="BP84" s="281"/>
      <c r="BQ84" s="93"/>
      <c r="BR84" s="274"/>
      <c r="BS84" s="274"/>
      <c r="BT84" s="281"/>
      <c r="BU84" s="93"/>
      <c r="BV84" s="274"/>
      <c r="BW84" s="274"/>
      <c r="BX84" s="275"/>
      <c r="BY84" s="93"/>
      <c r="BZ84" s="274"/>
      <c r="CA84" s="274"/>
      <c r="CB84" s="275"/>
      <c r="CC84" s="93"/>
      <c r="CD84" s="277"/>
      <c r="CE84" s="277"/>
      <c r="CF84" s="188"/>
      <c r="CG84" s="93"/>
      <c r="CH84" s="274"/>
      <c r="CI84" s="274"/>
      <c r="CJ84" s="273"/>
      <c r="CK84" s="93"/>
      <c r="CL84" s="274"/>
      <c r="CM84" s="274"/>
      <c r="CN84" s="273"/>
      <c r="CO84" s="93"/>
      <c r="CP84" s="274"/>
      <c r="CQ84" s="274"/>
      <c r="CR84" s="273"/>
      <c r="CS84" s="93"/>
      <c r="CT84" s="274"/>
      <c r="CU84" s="274"/>
      <c r="CV84" s="273"/>
      <c r="CW84" s="93"/>
      <c r="CX84" s="274"/>
      <c r="CY84" s="274"/>
      <c r="CZ84" s="273"/>
      <c r="DA84" s="93"/>
      <c r="DB84" s="274"/>
      <c r="DC84" s="274"/>
      <c r="DD84" s="273"/>
      <c r="DE84" s="93"/>
    </row>
    <row r="85" spans="1:109" ht="12.75">
      <c r="A85" s="253">
        <v>73</v>
      </c>
      <c r="B85" s="264" t="s">
        <v>870</v>
      </c>
      <c r="C85" s="189" t="s">
        <v>10</v>
      </c>
      <c r="D85" s="189" t="s">
        <v>876</v>
      </c>
      <c r="F85" s="549">
        <v>1996</v>
      </c>
      <c r="G85" s="255">
        <f t="shared" si="3"/>
        <v>739.6572312110932</v>
      </c>
      <c r="H85" s="256">
        <f t="shared" si="4"/>
        <v>739.6572312110932</v>
      </c>
      <c r="I85" s="257">
        <v>2</v>
      </c>
      <c r="J85" s="277"/>
      <c r="K85" s="277"/>
      <c r="L85" s="276"/>
      <c r="M85" s="36"/>
      <c r="N85" s="277"/>
      <c r="O85" s="277"/>
      <c r="P85" s="276"/>
      <c r="Q85" s="35"/>
      <c r="R85" s="277"/>
      <c r="S85" s="277"/>
      <c r="T85" s="276"/>
      <c r="U85" s="36"/>
      <c r="V85" s="277"/>
      <c r="W85" s="277"/>
      <c r="X85" s="276"/>
      <c r="Y85" s="35"/>
      <c r="Z85" s="277"/>
      <c r="AA85" s="277"/>
      <c r="AB85" s="276"/>
      <c r="AC85" s="35"/>
      <c r="AD85" s="277"/>
      <c r="AE85" s="277"/>
      <c r="AF85" s="276"/>
      <c r="AG85" s="35"/>
      <c r="AH85" s="277"/>
      <c r="AI85" s="277"/>
      <c r="AJ85" s="276"/>
      <c r="AK85" s="35"/>
      <c r="AL85" s="277"/>
      <c r="AM85" s="277"/>
      <c r="AN85" s="188"/>
      <c r="AO85" s="36"/>
      <c r="AP85" s="277"/>
      <c r="AQ85" s="277"/>
      <c r="AR85" s="188"/>
      <c r="AS85" s="36"/>
      <c r="AT85" s="277"/>
      <c r="AU85" s="277"/>
      <c r="AV85" s="188"/>
      <c r="AW85" s="36"/>
      <c r="AX85" s="277"/>
      <c r="AY85" s="277"/>
      <c r="AZ85" s="188"/>
      <c r="BA85" s="36"/>
      <c r="BB85" s="277"/>
      <c r="BC85" s="277"/>
      <c r="BD85" s="188"/>
      <c r="BE85" s="36"/>
      <c r="BF85" s="277"/>
      <c r="BG85" s="277"/>
      <c r="BH85" s="188"/>
      <c r="BI85" s="36"/>
      <c r="BJ85" s="277"/>
      <c r="BK85" s="277"/>
      <c r="BL85" s="188"/>
      <c r="BM85" s="36"/>
      <c r="BN85" s="277"/>
      <c r="BO85" s="277"/>
      <c r="BP85" s="188"/>
      <c r="BQ85" s="36"/>
      <c r="BR85" s="277"/>
      <c r="BS85" s="277"/>
      <c r="BT85" s="188"/>
      <c r="BU85" s="36"/>
      <c r="BV85" s="277"/>
      <c r="BW85" s="277"/>
      <c r="BX85" s="188"/>
      <c r="BY85" s="36"/>
      <c r="BZ85" s="277"/>
      <c r="CA85" s="277"/>
      <c r="CB85" s="188"/>
      <c r="CC85" s="36"/>
      <c r="CD85" s="277"/>
      <c r="CE85" s="277"/>
      <c r="CF85" s="279"/>
      <c r="CG85" s="36"/>
      <c r="CH85" s="277"/>
      <c r="CI85" s="277"/>
      <c r="CJ85" s="188"/>
      <c r="CK85" s="36"/>
      <c r="CL85" s="277"/>
      <c r="CM85" s="277"/>
      <c r="CN85" s="188"/>
      <c r="CO85" s="36"/>
      <c r="CP85" s="277"/>
      <c r="CQ85" s="277"/>
      <c r="CR85" s="188"/>
      <c r="CS85" s="36"/>
      <c r="CT85" s="277"/>
      <c r="CU85" s="277"/>
      <c r="CV85" s="188"/>
      <c r="CW85" s="36"/>
      <c r="CX85" s="277" t="s">
        <v>493</v>
      </c>
      <c r="CY85" s="277" t="s">
        <v>3</v>
      </c>
      <c r="CZ85" s="188">
        <v>0.07167824074074074</v>
      </c>
      <c r="DA85" s="93">
        <v>460.60154113845385</v>
      </c>
      <c r="DB85" s="277" t="s">
        <v>493</v>
      </c>
      <c r="DC85" s="277" t="s">
        <v>3</v>
      </c>
      <c r="DD85" s="188">
        <v>0.06581018518518518</v>
      </c>
      <c r="DE85" s="93">
        <v>279.0556900726393</v>
      </c>
    </row>
    <row r="86" spans="1:109" ht="12.75">
      <c r="A86" s="253">
        <v>74</v>
      </c>
      <c r="B86" s="265" t="s">
        <v>486</v>
      </c>
      <c r="C86" s="193" t="s">
        <v>476</v>
      </c>
      <c r="D86" s="193" t="s">
        <v>477</v>
      </c>
      <c r="F86" s="549"/>
      <c r="G86" s="255">
        <f t="shared" si="3"/>
        <v>710.5461393596987</v>
      </c>
      <c r="H86" s="256">
        <f t="shared" si="4"/>
        <v>710.5461393596987</v>
      </c>
      <c r="I86" s="257">
        <v>3</v>
      </c>
      <c r="J86" s="280"/>
      <c r="K86" s="274"/>
      <c r="L86" s="281"/>
      <c r="M86" s="35"/>
      <c r="N86" s="274"/>
      <c r="O86" s="274"/>
      <c r="P86" s="281"/>
      <c r="Q86" s="93"/>
      <c r="R86" s="274"/>
      <c r="S86" s="274"/>
      <c r="T86" s="281"/>
      <c r="U86" s="93"/>
      <c r="V86" s="277"/>
      <c r="W86" s="277"/>
      <c r="X86" s="276"/>
      <c r="Y86" s="93"/>
      <c r="Z86" s="274" t="s">
        <v>493</v>
      </c>
      <c r="AA86" s="274" t="s">
        <v>3</v>
      </c>
      <c r="AB86" s="276" t="s">
        <v>358</v>
      </c>
      <c r="AC86" s="36">
        <v>0</v>
      </c>
      <c r="AD86" s="274" t="s">
        <v>493</v>
      </c>
      <c r="AE86" s="274" t="s">
        <v>3</v>
      </c>
      <c r="AF86" s="188">
        <v>0.07319444444444444</v>
      </c>
      <c r="AG86" s="36">
        <v>710.5461393596987</v>
      </c>
      <c r="AH86" s="274" t="s">
        <v>493</v>
      </c>
      <c r="AI86" s="274" t="s">
        <v>3</v>
      </c>
      <c r="AJ86" s="276" t="s">
        <v>358</v>
      </c>
      <c r="AK86" s="36">
        <v>0</v>
      </c>
      <c r="AL86" s="277"/>
      <c r="AM86" s="277"/>
      <c r="AN86" s="188"/>
      <c r="AO86" s="93"/>
      <c r="AP86" s="277"/>
      <c r="AQ86" s="277"/>
      <c r="AR86" s="188"/>
      <c r="AS86" s="93"/>
      <c r="AT86" s="274"/>
      <c r="AU86" s="274"/>
      <c r="AV86" s="275"/>
      <c r="AW86" s="93"/>
      <c r="AX86" s="274"/>
      <c r="AY86" s="274"/>
      <c r="AZ86" s="275"/>
      <c r="BA86" s="93"/>
      <c r="BB86" s="274"/>
      <c r="BC86" s="274"/>
      <c r="BD86" s="273"/>
      <c r="BE86" s="93"/>
      <c r="BF86" s="277"/>
      <c r="BG86" s="277"/>
      <c r="BH86" s="188"/>
      <c r="BI86" s="93"/>
      <c r="BJ86" s="274"/>
      <c r="BK86" s="274"/>
      <c r="BL86" s="281"/>
      <c r="BM86" s="93"/>
      <c r="BN86" s="274"/>
      <c r="BO86" s="274"/>
      <c r="BP86" s="281"/>
      <c r="BQ86" s="93"/>
      <c r="BR86" s="274"/>
      <c r="BS86" s="274"/>
      <c r="BT86" s="273"/>
      <c r="BU86" s="93"/>
      <c r="BV86" s="274"/>
      <c r="BW86" s="274"/>
      <c r="BX86" s="275"/>
      <c r="BY86" s="93"/>
      <c r="BZ86" s="274"/>
      <c r="CA86" s="274"/>
      <c r="CB86" s="275"/>
      <c r="CC86" s="93"/>
      <c r="CD86" s="277"/>
      <c r="CE86" s="277"/>
      <c r="CF86" s="188"/>
      <c r="CG86" s="93"/>
      <c r="CH86" s="274"/>
      <c r="CI86" s="274"/>
      <c r="CJ86" s="273"/>
      <c r="CK86" s="93"/>
      <c r="CL86" s="274"/>
      <c r="CM86" s="274"/>
      <c r="CN86" s="273"/>
      <c r="CO86" s="93"/>
      <c r="CP86" s="274"/>
      <c r="CQ86" s="274"/>
      <c r="CR86" s="273"/>
      <c r="CS86" s="93"/>
      <c r="CT86" s="274"/>
      <c r="CU86" s="274"/>
      <c r="CV86" s="273"/>
      <c r="CW86" s="93"/>
      <c r="CX86" s="274"/>
      <c r="CY86" s="274"/>
      <c r="CZ86" s="273"/>
      <c r="DA86" s="93"/>
      <c r="DB86" s="274"/>
      <c r="DC86" s="274"/>
      <c r="DD86" s="273"/>
      <c r="DE86" s="93"/>
    </row>
    <row r="87" spans="1:109" ht="12.75">
      <c r="A87" s="253">
        <v>75</v>
      </c>
      <c r="B87" s="265" t="s">
        <v>631</v>
      </c>
      <c r="C87" s="193" t="s">
        <v>10</v>
      </c>
      <c r="D87" s="193" t="s">
        <v>49</v>
      </c>
      <c r="E87" s="193" t="s">
        <v>359</v>
      </c>
      <c r="F87" s="548"/>
      <c r="G87" s="255">
        <f t="shared" si="3"/>
        <v>687.2054527750731</v>
      </c>
      <c r="H87" s="256">
        <f t="shared" si="4"/>
        <v>687.2054527750731</v>
      </c>
      <c r="I87" s="257">
        <v>1</v>
      </c>
      <c r="J87" s="289"/>
      <c r="K87" s="277"/>
      <c r="L87" s="276"/>
      <c r="M87" s="35"/>
      <c r="N87" s="277"/>
      <c r="O87" s="277"/>
      <c r="P87" s="276"/>
      <c r="Q87" s="93"/>
      <c r="R87" s="274"/>
      <c r="S87" s="274"/>
      <c r="T87" s="281"/>
      <c r="U87" s="93"/>
      <c r="V87" s="277"/>
      <c r="W87" s="277"/>
      <c r="X87" s="276"/>
      <c r="Y87" s="93"/>
      <c r="Z87" s="277"/>
      <c r="AA87" s="188"/>
      <c r="AB87" s="188"/>
      <c r="AC87" s="93"/>
      <c r="AD87" s="277"/>
      <c r="AE87" s="188"/>
      <c r="AF87" s="188"/>
      <c r="AG87" s="93"/>
      <c r="AH87" s="277"/>
      <c r="AI87" s="188"/>
      <c r="AJ87" s="188"/>
      <c r="AK87" s="93"/>
      <c r="AL87" s="285"/>
      <c r="AM87" s="277"/>
      <c r="AN87" s="277"/>
      <c r="AO87" s="93"/>
      <c r="AP87" s="277" t="s">
        <v>632</v>
      </c>
      <c r="AQ87" s="277" t="s">
        <v>4</v>
      </c>
      <c r="AR87" s="188">
        <v>0.028981481481481483</v>
      </c>
      <c r="AS87" s="93">
        <v>687.2054527750731</v>
      </c>
      <c r="AT87" s="274"/>
      <c r="AU87" s="274"/>
      <c r="AV87" s="273"/>
      <c r="AW87" s="93"/>
      <c r="AX87" s="274"/>
      <c r="AY87" s="274"/>
      <c r="AZ87" s="275"/>
      <c r="BA87" s="93"/>
      <c r="BB87" s="274"/>
      <c r="BC87" s="274"/>
      <c r="BD87" s="273"/>
      <c r="BE87" s="93"/>
      <c r="BF87" s="277"/>
      <c r="BG87" s="277"/>
      <c r="BH87" s="188"/>
      <c r="BI87" s="93"/>
      <c r="BJ87" s="274"/>
      <c r="BK87" s="274"/>
      <c r="BL87" s="281"/>
      <c r="BM87" s="93"/>
      <c r="BN87" s="274"/>
      <c r="BO87" s="274"/>
      <c r="BP87" s="281"/>
      <c r="BQ87" s="93"/>
      <c r="BR87" s="274"/>
      <c r="BS87" s="274"/>
      <c r="BT87" s="273"/>
      <c r="BU87" s="93"/>
      <c r="BV87" s="274"/>
      <c r="BW87" s="274"/>
      <c r="BX87" s="275"/>
      <c r="BY87" s="93"/>
      <c r="BZ87" s="274"/>
      <c r="CA87" s="274"/>
      <c r="CB87" s="275"/>
      <c r="CC87" s="93"/>
      <c r="CD87" s="277"/>
      <c r="CE87" s="277"/>
      <c r="CF87" s="188"/>
      <c r="CG87" s="93"/>
      <c r="CH87" s="274"/>
      <c r="CI87" s="274"/>
      <c r="CJ87" s="273"/>
      <c r="CK87" s="93"/>
      <c r="CL87" s="274"/>
      <c r="CM87" s="274"/>
      <c r="CN87" s="273"/>
      <c r="CO87" s="93"/>
      <c r="CP87" s="274"/>
      <c r="CQ87" s="274"/>
      <c r="CR87" s="273"/>
      <c r="CS87" s="93"/>
      <c r="CT87" s="274"/>
      <c r="CU87" s="274"/>
      <c r="CV87" s="273"/>
      <c r="CW87" s="93"/>
      <c r="CX87" s="274"/>
      <c r="CY87" s="274"/>
      <c r="CZ87" s="273"/>
      <c r="DA87" s="93"/>
      <c r="DB87" s="274"/>
      <c r="DC87" s="274"/>
      <c r="DD87" s="273"/>
      <c r="DE87" s="93"/>
    </row>
    <row r="88" spans="1:109" ht="12.75">
      <c r="A88" s="253">
        <v>76</v>
      </c>
      <c r="B88" s="265" t="s">
        <v>781</v>
      </c>
      <c r="C88" s="193" t="s">
        <v>95</v>
      </c>
      <c r="D88" s="193" t="s">
        <v>98</v>
      </c>
      <c r="E88" s="193" t="s">
        <v>360</v>
      </c>
      <c r="F88" s="190">
        <v>1974</v>
      </c>
      <c r="G88" s="255">
        <f t="shared" si="3"/>
        <v>639.1951710261571</v>
      </c>
      <c r="H88" s="256">
        <f t="shared" si="4"/>
        <v>639.1951710261571</v>
      </c>
      <c r="I88" s="257">
        <v>1</v>
      </c>
      <c r="J88" s="289"/>
      <c r="K88" s="277"/>
      <c r="L88" s="276"/>
      <c r="M88" s="35"/>
      <c r="N88" s="277"/>
      <c r="O88" s="277"/>
      <c r="P88" s="276"/>
      <c r="Q88" s="93"/>
      <c r="R88" s="274"/>
      <c r="S88" s="274"/>
      <c r="T88" s="281"/>
      <c r="U88" s="93"/>
      <c r="V88" s="277"/>
      <c r="W88" s="277"/>
      <c r="X88" s="276"/>
      <c r="Y88" s="93"/>
      <c r="Z88" s="274"/>
      <c r="AA88" s="274"/>
      <c r="AB88" s="275"/>
      <c r="AC88" s="93"/>
      <c r="AD88" s="277"/>
      <c r="AE88" s="188"/>
      <c r="AF88" s="188"/>
      <c r="AG88" s="93"/>
      <c r="AH88" s="277"/>
      <c r="AI88" s="188"/>
      <c r="AJ88" s="188"/>
      <c r="AK88" s="93"/>
      <c r="AL88" s="277"/>
      <c r="AM88" s="277"/>
      <c r="AN88" s="188"/>
      <c r="AO88" s="93"/>
      <c r="AP88" s="277"/>
      <c r="AQ88" s="277"/>
      <c r="AR88" s="188"/>
      <c r="AS88" s="36"/>
      <c r="AT88" s="277"/>
      <c r="AU88" s="277"/>
      <c r="AV88" s="188"/>
      <c r="AW88" s="93"/>
      <c r="AX88" s="274"/>
      <c r="AY88" s="274"/>
      <c r="AZ88" s="275"/>
      <c r="BA88" s="93"/>
      <c r="BB88" s="274"/>
      <c r="BC88" s="274"/>
      <c r="BD88" s="273"/>
      <c r="BE88" s="93"/>
      <c r="BF88" s="277"/>
      <c r="BG88" s="277"/>
      <c r="BH88" s="188"/>
      <c r="BI88" s="93"/>
      <c r="BJ88" s="274"/>
      <c r="BK88" s="274"/>
      <c r="BL88" s="281"/>
      <c r="BM88" s="93"/>
      <c r="BN88" s="274"/>
      <c r="BO88" s="274"/>
      <c r="BP88" s="281"/>
      <c r="BQ88" s="93"/>
      <c r="BR88" s="277"/>
      <c r="BS88" s="277"/>
      <c r="BT88" s="188"/>
      <c r="BU88" s="93"/>
      <c r="BV88" s="274"/>
      <c r="BW88" s="274"/>
      <c r="BX88" s="275"/>
      <c r="BY88" s="93"/>
      <c r="BZ88" s="274"/>
      <c r="CA88" s="274"/>
      <c r="CB88" s="275"/>
      <c r="CC88" s="93"/>
      <c r="CD88" s="277" t="s">
        <v>633</v>
      </c>
      <c r="CE88" s="277" t="s">
        <v>4</v>
      </c>
      <c r="CF88" s="279">
        <v>0.04395833333333333</v>
      </c>
      <c r="CG88" s="93">
        <v>639.1951710261571</v>
      </c>
      <c r="CH88" s="274"/>
      <c r="CI88" s="274"/>
      <c r="CJ88" s="273"/>
      <c r="CK88" s="93"/>
      <c r="CL88" s="274"/>
      <c r="CM88" s="274"/>
      <c r="CN88" s="273"/>
      <c r="CO88" s="93"/>
      <c r="CP88" s="274"/>
      <c r="CQ88" s="274"/>
      <c r="CR88" s="273"/>
      <c r="CS88" s="93"/>
      <c r="CT88" s="274"/>
      <c r="CU88" s="274"/>
      <c r="CV88" s="273"/>
      <c r="CW88" s="93"/>
      <c r="CX88" s="274"/>
      <c r="CY88" s="274"/>
      <c r="CZ88" s="273"/>
      <c r="DA88" s="93"/>
      <c r="DB88" s="274"/>
      <c r="DC88" s="274"/>
      <c r="DD88" s="273"/>
      <c r="DE88" s="93"/>
    </row>
    <row r="89" spans="1:109" ht="12.75">
      <c r="A89" s="253">
        <v>77</v>
      </c>
      <c r="B89" s="265" t="s">
        <v>779</v>
      </c>
      <c r="C89" s="193" t="s">
        <v>10</v>
      </c>
      <c r="D89" s="193" t="s">
        <v>21</v>
      </c>
      <c r="E89" s="193" t="s">
        <v>359</v>
      </c>
      <c r="F89" s="548"/>
      <c r="G89" s="255">
        <f t="shared" si="3"/>
        <v>455.1523500810373</v>
      </c>
      <c r="H89" s="256">
        <f t="shared" si="4"/>
        <v>455.1523500810373</v>
      </c>
      <c r="I89" s="257">
        <v>3</v>
      </c>
      <c r="J89" s="277"/>
      <c r="K89" s="277"/>
      <c r="L89" s="276"/>
      <c r="M89" s="36"/>
      <c r="N89" s="277"/>
      <c r="O89" s="277"/>
      <c r="P89" s="276"/>
      <c r="Q89" s="93"/>
      <c r="R89" s="274"/>
      <c r="S89" s="274"/>
      <c r="T89" s="281"/>
      <c r="U89" s="93"/>
      <c r="V89" s="277"/>
      <c r="W89" s="277"/>
      <c r="X89" s="276"/>
      <c r="Y89" s="93"/>
      <c r="Z89" s="277"/>
      <c r="AA89" s="277"/>
      <c r="AB89" s="276"/>
      <c r="AC89" s="93"/>
      <c r="AD89" s="277"/>
      <c r="AE89" s="188"/>
      <c r="AF89" s="188"/>
      <c r="AG89" s="93"/>
      <c r="AH89" s="277"/>
      <c r="AI89" s="188"/>
      <c r="AJ89" s="188"/>
      <c r="AK89" s="93"/>
      <c r="AL89" s="277"/>
      <c r="AM89" s="277"/>
      <c r="AN89" s="188"/>
      <c r="AO89" s="93"/>
      <c r="AP89" s="277"/>
      <c r="AQ89" s="277"/>
      <c r="AR89" s="188"/>
      <c r="AS89" s="36"/>
      <c r="AT89" s="277"/>
      <c r="AU89" s="277"/>
      <c r="AV89" s="188"/>
      <c r="AW89" s="93"/>
      <c r="AX89" s="274"/>
      <c r="AY89" s="274"/>
      <c r="AZ89" s="275"/>
      <c r="BA89" s="93"/>
      <c r="BB89" s="274"/>
      <c r="BC89" s="274"/>
      <c r="BD89" s="273"/>
      <c r="BE89" s="93"/>
      <c r="BF89" s="277"/>
      <c r="BG89" s="277"/>
      <c r="BH89" s="188"/>
      <c r="BI89" s="93"/>
      <c r="BJ89" s="274"/>
      <c r="BK89" s="274"/>
      <c r="BL89" s="281"/>
      <c r="BM89" s="93"/>
      <c r="BN89" s="274"/>
      <c r="BO89" s="274"/>
      <c r="BP89" s="281"/>
      <c r="BQ89" s="93"/>
      <c r="BR89" s="277"/>
      <c r="BS89" s="277"/>
      <c r="BT89" s="188"/>
      <c r="BU89" s="93"/>
      <c r="BV89" s="274"/>
      <c r="BW89" s="274"/>
      <c r="BX89" s="275"/>
      <c r="BY89" s="93"/>
      <c r="BZ89" s="274"/>
      <c r="CA89" s="274"/>
      <c r="CB89" s="275"/>
      <c r="CC89" s="93"/>
      <c r="CD89" s="277" t="s">
        <v>780</v>
      </c>
      <c r="CE89" s="277" t="s">
        <v>159</v>
      </c>
      <c r="CF89" s="279">
        <v>0.0581712962962963</v>
      </c>
      <c r="CG89" s="93">
        <v>445.1523500810373</v>
      </c>
      <c r="CH89" s="277"/>
      <c r="CI89" s="277"/>
      <c r="CJ89" s="188"/>
      <c r="CK89" s="36"/>
      <c r="CL89" s="277"/>
      <c r="CM89" s="277"/>
      <c r="CN89" s="188"/>
      <c r="CO89" s="36"/>
      <c r="CP89" s="277"/>
      <c r="CQ89" s="277"/>
      <c r="CR89" s="188"/>
      <c r="CS89" s="36"/>
      <c r="CT89" s="277"/>
      <c r="CU89" s="277"/>
      <c r="CV89" s="188"/>
      <c r="CW89" s="36"/>
      <c r="CX89" s="277" t="s">
        <v>875</v>
      </c>
      <c r="CY89" s="277" t="s">
        <v>4</v>
      </c>
      <c r="CZ89" s="188" t="s">
        <v>358</v>
      </c>
      <c r="DA89" s="36">
        <v>0</v>
      </c>
      <c r="DB89" s="277" t="s">
        <v>875</v>
      </c>
      <c r="DC89" s="277" t="s">
        <v>4</v>
      </c>
      <c r="DD89" s="188">
        <v>0.11046296296296297</v>
      </c>
      <c r="DE89" s="93">
        <v>10</v>
      </c>
    </row>
    <row r="90" spans="1:109" ht="12.75">
      <c r="A90" s="253">
        <v>78</v>
      </c>
      <c r="B90" s="265" t="s">
        <v>782</v>
      </c>
      <c r="C90" s="193" t="s">
        <v>10</v>
      </c>
      <c r="D90" s="268" t="s">
        <v>785</v>
      </c>
      <c r="E90" s="193" t="s">
        <v>360</v>
      </c>
      <c r="F90" s="190">
        <v>1971</v>
      </c>
      <c r="G90" s="255">
        <f t="shared" si="3"/>
        <v>384.81556002682777</v>
      </c>
      <c r="H90" s="256">
        <f t="shared" si="4"/>
        <v>384.81556002682777</v>
      </c>
      <c r="I90" s="257">
        <v>1</v>
      </c>
      <c r="J90" s="277"/>
      <c r="K90" s="277"/>
      <c r="L90" s="276"/>
      <c r="M90" s="35"/>
      <c r="N90" s="277"/>
      <c r="O90" s="277"/>
      <c r="P90" s="276"/>
      <c r="Q90" s="93"/>
      <c r="R90" s="274"/>
      <c r="S90" s="274"/>
      <c r="T90" s="281"/>
      <c r="U90" s="93"/>
      <c r="V90" s="277"/>
      <c r="W90" s="277"/>
      <c r="X90" s="276"/>
      <c r="Y90" s="93"/>
      <c r="Z90" s="277"/>
      <c r="AA90" s="277"/>
      <c r="AB90" s="276"/>
      <c r="AC90" s="93"/>
      <c r="AD90" s="277"/>
      <c r="AE90" s="188"/>
      <c r="AF90" s="188"/>
      <c r="AG90" s="93"/>
      <c r="AH90" s="277"/>
      <c r="AI90" s="188"/>
      <c r="AJ90" s="188"/>
      <c r="AK90" s="93"/>
      <c r="AL90" s="277"/>
      <c r="AM90" s="277"/>
      <c r="AN90" s="188"/>
      <c r="AO90" s="93"/>
      <c r="AP90" s="277"/>
      <c r="AQ90" s="277"/>
      <c r="AR90" s="188"/>
      <c r="AS90" s="36"/>
      <c r="AT90" s="277"/>
      <c r="AU90" s="277"/>
      <c r="AV90" s="188"/>
      <c r="AW90" s="93"/>
      <c r="AX90" s="274"/>
      <c r="AY90" s="274"/>
      <c r="AZ90" s="275"/>
      <c r="BA90" s="93"/>
      <c r="BB90" s="274"/>
      <c r="BC90" s="274"/>
      <c r="BD90" s="273"/>
      <c r="BE90" s="93"/>
      <c r="BF90" s="277"/>
      <c r="BG90" s="277"/>
      <c r="BH90" s="188"/>
      <c r="BI90" s="93"/>
      <c r="BJ90" s="274"/>
      <c r="BK90" s="274"/>
      <c r="BL90" s="281"/>
      <c r="BM90" s="93"/>
      <c r="BN90" s="274"/>
      <c r="BO90" s="274"/>
      <c r="BP90" s="281"/>
      <c r="BQ90" s="93"/>
      <c r="BR90" s="277"/>
      <c r="BS90" s="277"/>
      <c r="BT90" s="188"/>
      <c r="BU90" s="93"/>
      <c r="BV90" s="274"/>
      <c r="BW90" s="274"/>
      <c r="BX90" s="275"/>
      <c r="BY90" s="93"/>
      <c r="BZ90" s="274"/>
      <c r="CA90" s="274"/>
      <c r="CB90" s="275"/>
      <c r="CC90" s="93"/>
      <c r="CD90" s="277" t="s">
        <v>633</v>
      </c>
      <c r="CE90" s="277" t="s">
        <v>4</v>
      </c>
      <c r="CF90" s="279">
        <v>0.05393518518518519</v>
      </c>
      <c r="CG90" s="93">
        <v>384.81556002682777</v>
      </c>
      <c r="CH90" s="277"/>
      <c r="CI90" s="277"/>
      <c r="CJ90" s="188"/>
      <c r="CK90" s="36"/>
      <c r="CL90" s="277"/>
      <c r="CM90" s="277"/>
      <c r="CN90" s="188"/>
      <c r="CO90" s="36"/>
      <c r="CP90" s="277"/>
      <c r="CQ90" s="277"/>
      <c r="CR90" s="188"/>
      <c r="CS90" s="36"/>
      <c r="CT90" s="277"/>
      <c r="CU90" s="277"/>
      <c r="CV90" s="188"/>
      <c r="CW90" s="36"/>
      <c r="CX90" s="277"/>
      <c r="CY90" s="277"/>
      <c r="CZ90" s="188"/>
      <c r="DA90" s="36"/>
      <c r="DB90" s="277"/>
      <c r="DC90" s="277"/>
      <c r="DD90" s="188"/>
      <c r="DE90" s="36"/>
    </row>
    <row r="91" spans="1:109" ht="12.75">
      <c r="A91" s="253">
        <v>79</v>
      </c>
      <c r="B91" s="265" t="s">
        <v>783</v>
      </c>
      <c r="C91" s="193" t="s">
        <v>10</v>
      </c>
      <c r="D91" s="193" t="s">
        <v>784</v>
      </c>
      <c r="F91" s="190">
        <v>1978</v>
      </c>
      <c r="G91" s="255">
        <f t="shared" si="3"/>
        <v>307.79342723004703</v>
      </c>
      <c r="H91" s="256">
        <f t="shared" si="4"/>
        <v>307.79342723004703</v>
      </c>
      <c r="I91" s="257">
        <v>1</v>
      </c>
      <c r="J91" s="277"/>
      <c r="K91" s="277"/>
      <c r="L91" s="276"/>
      <c r="M91" s="35"/>
      <c r="N91" s="277"/>
      <c r="O91" s="277"/>
      <c r="P91" s="276"/>
      <c r="Q91" s="93"/>
      <c r="R91" s="274"/>
      <c r="S91" s="274"/>
      <c r="T91" s="281"/>
      <c r="U91" s="93"/>
      <c r="V91" s="277"/>
      <c r="W91" s="277"/>
      <c r="X91" s="276"/>
      <c r="Y91" s="93"/>
      <c r="Z91" s="277"/>
      <c r="AA91" s="277"/>
      <c r="AB91" s="276"/>
      <c r="AC91" s="93"/>
      <c r="AD91" s="277"/>
      <c r="AE91" s="188"/>
      <c r="AF91" s="188"/>
      <c r="AG91" s="93"/>
      <c r="AH91" s="277"/>
      <c r="AI91" s="188"/>
      <c r="AJ91" s="188"/>
      <c r="AK91" s="93"/>
      <c r="AL91" s="277"/>
      <c r="AM91" s="277"/>
      <c r="AN91" s="188"/>
      <c r="AO91" s="93"/>
      <c r="AP91" s="277"/>
      <c r="AQ91" s="277"/>
      <c r="AR91" s="188"/>
      <c r="AS91" s="36"/>
      <c r="AT91" s="277"/>
      <c r="AU91" s="277"/>
      <c r="AV91" s="188"/>
      <c r="AW91" s="93"/>
      <c r="AX91" s="274"/>
      <c r="AY91" s="274"/>
      <c r="AZ91" s="275"/>
      <c r="BA91" s="93"/>
      <c r="BB91" s="274"/>
      <c r="BC91" s="274"/>
      <c r="BD91" s="273"/>
      <c r="BE91" s="93"/>
      <c r="BF91" s="277"/>
      <c r="BG91" s="277"/>
      <c r="BH91" s="188"/>
      <c r="BI91" s="93"/>
      <c r="BJ91" s="274"/>
      <c r="BK91" s="274"/>
      <c r="BL91" s="281"/>
      <c r="BM91" s="93"/>
      <c r="BN91" s="274"/>
      <c r="BO91" s="274"/>
      <c r="BP91" s="281"/>
      <c r="BQ91" s="93"/>
      <c r="BR91" s="277"/>
      <c r="BS91" s="277"/>
      <c r="BT91" s="188"/>
      <c r="BU91" s="93"/>
      <c r="BV91" s="274"/>
      <c r="BW91" s="274"/>
      <c r="BX91" s="275"/>
      <c r="BY91" s="93"/>
      <c r="BZ91" s="274"/>
      <c r="CA91" s="274"/>
      <c r="CB91" s="275"/>
      <c r="CC91" s="93"/>
      <c r="CD91" s="277" t="s">
        <v>633</v>
      </c>
      <c r="CE91" s="277" t="s">
        <v>4</v>
      </c>
      <c r="CF91" s="279">
        <v>0.056956018518518524</v>
      </c>
      <c r="CG91" s="93">
        <v>307.79342723004703</v>
      </c>
      <c r="CH91" s="277"/>
      <c r="CI91" s="277"/>
      <c r="CJ91" s="188"/>
      <c r="CK91" s="36"/>
      <c r="CL91" s="277"/>
      <c r="CM91" s="277"/>
      <c r="CN91" s="188"/>
      <c r="CO91" s="36"/>
      <c r="CP91" s="277"/>
      <c r="CQ91" s="277"/>
      <c r="CR91" s="188"/>
      <c r="CS91" s="36"/>
      <c r="CT91" s="277"/>
      <c r="CU91" s="277"/>
      <c r="CV91" s="188"/>
      <c r="CW91" s="36"/>
      <c r="CX91" s="277"/>
      <c r="CY91" s="277"/>
      <c r="CZ91" s="188"/>
      <c r="DA91" s="36"/>
      <c r="DB91" s="277"/>
      <c r="DC91" s="277"/>
      <c r="DD91" s="188"/>
      <c r="DE91" s="36"/>
    </row>
    <row r="92" spans="1:109" ht="12.75">
      <c r="A92" s="253">
        <v>80</v>
      </c>
      <c r="B92" s="259" t="s">
        <v>413</v>
      </c>
      <c r="C92" s="193" t="s">
        <v>10</v>
      </c>
      <c r="D92" s="193" t="s">
        <v>414</v>
      </c>
      <c r="F92" s="548">
        <v>1980</v>
      </c>
      <c r="G92" s="255">
        <f t="shared" si="3"/>
        <v>300.8421823507872</v>
      </c>
      <c r="H92" s="256">
        <f t="shared" si="4"/>
        <v>300.8421823507872</v>
      </c>
      <c r="I92" s="257">
        <v>1</v>
      </c>
      <c r="J92" s="277" t="s">
        <v>412</v>
      </c>
      <c r="K92" s="277" t="s">
        <v>4</v>
      </c>
      <c r="L92" s="278">
        <v>0.05133101851851852</v>
      </c>
      <c r="M92" s="93">
        <v>300.8421823507872</v>
      </c>
      <c r="N92" s="277"/>
      <c r="O92" s="277"/>
      <c r="P92" s="276"/>
      <c r="Q92" s="93"/>
      <c r="R92" s="274"/>
      <c r="S92" s="274"/>
      <c r="T92" s="281"/>
      <c r="U92" s="93"/>
      <c r="V92" s="277"/>
      <c r="W92" s="277"/>
      <c r="X92" s="276"/>
      <c r="Y92" s="93"/>
      <c r="Z92" s="274"/>
      <c r="AA92" s="274"/>
      <c r="AB92" s="276"/>
      <c r="AC92" s="93"/>
      <c r="AD92" s="277"/>
      <c r="AE92" s="188"/>
      <c r="AF92" s="188"/>
      <c r="AG92" s="93"/>
      <c r="AH92" s="277"/>
      <c r="AI92" s="188"/>
      <c r="AJ92" s="188"/>
      <c r="AK92" s="93"/>
      <c r="AL92" s="277"/>
      <c r="AM92" s="277"/>
      <c r="AN92" s="188"/>
      <c r="AO92" s="93"/>
      <c r="AP92" s="277"/>
      <c r="AQ92" s="277"/>
      <c r="AR92" s="188"/>
      <c r="AS92" s="36"/>
      <c r="AT92" s="274"/>
      <c r="AU92" s="274"/>
      <c r="AV92" s="273"/>
      <c r="AW92" s="93"/>
      <c r="AX92" s="274"/>
      <c r="AY92" s="274"/>
      <c r="AZ92" s="275"/>
      <c r="BA92" s="93"/>
      <c r="BB92" s="274"/>
      <c r="BC92" s="274"/>
      <c r="BD92" s="273"/>
      <c r="BE92" s="93"/>
      <c r="BF92" s="277"/>
      <c r="BG92" s="277"/>
      <c r="BH92" s="188"/>
      <c r="BI92" s="93"/>
      <c r="BJ92" s="274"/>
      <c r="BK92" s="274"/>
      <c r="BL92" s="281"/>
      <c r="BM92" s="93"/>
      <c r="BN92" s="274"/>
      <c r="BO92" s="274"/>
      <c r="BP92" s="281"/>
      <c r="BQ92" s="93"/>
      <c r="BR92" s="274"/>
      <c r="BS92" s="274"/>
      <c r="BT92" s="281"/>
      <c r="BU92" s="93"/>
      <c r="BV92" s="274"/>
      <c r="BW92" s="274"/>
      <c r="BX92" s="275"/>
      <c r="BY92" s="93"/>
      <c r="BZ92" s="274"/>
      <c r="CA92" s="274"/>
      <c r="CB92" s="275"/>
      <c r="CC92" s="93"/>
      <c r="CD92" s="277"/>
      <c r="CE92" s="277"/>
      <c r="CF92" s="188"/>
      <c r="CG92" s="93"/>
      <c r="CH92" s="277"/>
      <c r="CI92" s="277"/>
      <c r="CJ92" s="188"/>
      <c r="CK92" s="36"/>
      <c r="CL92" s="277"/>
      <c r="CM92" s="277"/>
      <c r="CN92" s="188"/>
      <c r="CO92" s="36"/>
      <c r="CP92" s="277"/>
      <c r="CQ92" s="277"/>
      <c r="CR92" s="188"/>
      <c r="CS92" s="36"/>
      <c r="CT92" s="277"/>
      <c r="CU92" s="277"/>
      <c r="CV92" s="188"/>
      <c r="CW92" s="36"/>
      <c r="CX92" s="277"/>
      <c r="CY92" s="277"/>
      <c r="CZ92" s="188"/>
      <c r="DA92" s="36"/>
      <c r="DB92" s="277"/>
      <c r="DC92" s="277"/>
      <c r="DD92" s="188"/>
      <c r="DE92" s="36"/>
    </row>
    <row r="93" spans="1:109" ht="12.75">
      <c r="A93" s="253">
        <v>81</v>
      </c>
      <c r="B93" s="259" t="s">
        <v>398</v>
      </c>
      <c r="C93" s="193" t="s">
        <v>10</v>
      </c>
      <c r="D93" s="193" t="s">
        <v>399</v>
      </c>
      <c r="F93" s="190"/>
      <c r="G93" s="255">
        <f t="shared" si="3"/>
        <v>0</v>
      </c>
      <c r="H93" s="256">
        <f t="shared" si="4"/>
        <v>0</v>
      </c>
      <c r="I93" s="257">
        <v>1</v>
      </c>
      <c r="J93" s="289"/>
      <c r="K93" s="277"/>
      <c r="L93" s="276"/>
      <c r="M93" s="93"/>
      <c r="N93" s="277"/>
      <c r="O93" s="277"/>
      <c r="P93" s="276"/>
      <c r="Q93" s="93"/>
      <c r="R93" s="274"/>
      <c r="S93" s="274"/>
      <c r="T93" s="281"/>
      <c r="U93" s="93"/>
      <c r="V93" s="277"/>
      <c r="W93" s="277"/>
      <c r="X93" s="276"/>
      <c r="Y93" s="93"/>
      <c r="Z93" s="274"/>
      <c r="AA93" s="274"/>
      <c r="AB93" s="276"/>
      <c r="AC93" s="93"/>
      <c r="AD93" s="277"/>
      <c r="AE93" s="188"/>
      <c r="AF93" s="188"/>
      <c r="AG93" s="93"/>
      <c r="AH93" s="277"/>
      <c r="AI93" s="188"/>
      <c r="AJ93" s="188"/>
      <c r="AK93" s="93"/>
      <c r="AL93" s="277"/>
      <c r="AM93" s="277"/>
      <c r="AN93" s="188"/>
      <c r="AO93" s="93"/>
      <c r="AP93" s="277"/>
      <c r="AQ93" s="277"/>
      <c r="AR93" s="188"/>
      <c r="AS93" s="36"/>
      <c r="AT93" s="274"/>
      <c r="AU93" s="274"/>
      <c r="AV93" s="273"/>
      <c r="AW93" s="93"/>
      <c r="AX93" s="274"/>
      <c r="AY93" s="274"/>
      <c r="AZ93" s="275"/>
      <c r="BA93" s="93"/>
      <c r="BB93" s="274"/>
      <c r="BC93" s="274"/>
      <c r="BD93" s="273"/>
      <c r="BE93" s="93"/>
      <c r="BF93" s="277"/>
      <c r="BG93" s="277"/>
      <c r="BH93" s="188"/>
      <c r="BI93" s="93"/>
      <c r="BJ93" s="274"/>
      <c r="BK93" s="274"/>
      <c r="BL93" s="281"/>
      <c r="BM93" s="93"/>
      <c r="BN93" s="274"/>
      <c r="BO93" s="274"/>
      <c r="BP93" s="281"/>
      <c r="BQ93" s="93"/>
      <c r="BR93" s="274"/>
      <c r="BS93" s="274"/>
      <c r="BT93" s="281"/>
      <c r="BU93" s="93"/>
      <c r="BV93" s="274"/>
      <c r="BW93" s="274"/>
      <c r="BX93" s="275"/>
      <c r="BY93" s="93"/>
      <c r="BZ93" s="274"/>
      <c r="CA93" s="274"/>
      <c r="CB93" s="275"/>
      <c r="CC93" s="93"/>
      <c r="CD93" s="277" t="s">
        <v>237</v>
      </c>
      <c r="CE93" s="277" t="s">
        <v>3</v>
      </c>
      <c r="CF93" s="276" t="s">
        <v>358</v>
      </c>
      <c r="CG93" s="93">
        <v>0</v>
      </c>
      <c r="CH93" s="277"/>
      <c r="CI93" s="277"/>
      <c r="CJ93" s="188"/>
      <c r="CK93" s="36"/>
      <c r="CL93" s="277"/>
      <c r="CM93" s="277"/>
      <c r="CN93" s="188"/>
      <c r="CO93" s="36"/>
      <c r="CP93" s="277"/>
      <c r="CQ93" s="277"/>
      <c r="CR93" s="188"/>
      <c r="CS93" s="36"/>
      <c r="CT93" s="277"/>
      <c r="CU93" s="277"/>
      <c r="CV93" s="188"/>
      <c r="CW93" s="36"/>
      <c r="CX93" s="277"/>
      <c r="CY93" s="277"/>
      <c r="CZ93" s="188"/>
      <c r="DA93" s="36"/>
      <c r="DB93" s="277"/>
      <c r="DC93" s="277"/>
      <c r="DD93" s="188"/>
      <c r="DE93" s="36"/>
    </row>
    <row r="94" spans="1:109" ht="12.75">
      <c r="A94" s="253"/>
      <c r="F94" s="190"/>
      <c r="G94" s="269"/>
      <c r="H94" s="270"/>
      <c r="I94" s="270"/>
      <c r="J94" s="194"/>
      <c r="L94" s="263"/>
      <c r="M94" s="271"/>
      <c r="P94" s="263"/>
      <c r="Q94" s="272"/>
      <c r="T94" s="263"/>
      <c r="U94" s="271"/>
      <c r="X94" s="263"/>
      <c r="Y94" s="272"/>
      <c r="AB94" s="263"/>
      <c r="AC94" s="272"/>
      <c r="AF94" s="263"/>
      <c r="AG94" s="272"/>
      <c r="AJ94" s="263"/>
      <c r="AK94" s="272"/>
      <c r="AN94" s="261"/>
      <c r="AO94" s="271"/>
      <c r="AR94" s="261"/>
      <c r="AS94" s="271"/>
      <c r="AV94" s="261"/>
      <c r="AW94" s="271"/>
      <c r="AZ94" s="261"/>
      <c r="BA94" s="271"/>
      <c r="BD94" s="261"/>
      <c r="BE94" s="271"/>
      <c r="BH94" s="261"/>
      <c r="BI94" s="271"/>
      <c r="BL94" s="261"/>
      <c r="BM94" s="271"/>
      <c r="BP94" s="261"/>
      <c r="BQ94" s="271"/>
      <c r="BT94" s="261"/>
      <c r="BU94" s="271"/>
      <c r="BX94" s="261"/>
      <c r="BY94" s="271"/>
      <c r="CB94" s="261"/>
      <c r="CC94" s="271"/>
      <c r="CD94" s="258"/>
      <c r="CE94" s="258"/>
      <c r="CF94" s="260"/>
      <c r="CG94" s="271"/>
      <c r="CJ94" s="261"/>
      <c r="CK94" s="271"/>
      <c r="CN94" s="261"/>
      <c r="CO94" s="271"/>
      <c r="CR94" s="261"/>
      <c r="CS94" s="271"/>
      <c r="CV94" s="261"/>
      <c r="CW94" s="271"/>
      <c r="CZ94" s="261"/>
      <c r="DA94" s="271"/>
      <c r="DD94" s="261"/>
      <c r="DE94" s="271"/>
    </row>
    <row r="95" spans="1:109" ht="12.75">
      <c r="A95" s="253"/>
      <c r="F95" s="190"/>
      <c r="G95" s="269"/>
      <c r="H95" s="270"/>
      <c r="I95" s="270"/>
      <c r="J95" s="194"/>
      <c r="L95" s="263"/>
      <c r="M95" s="271"/>
      <c r="P95" s="263"/>
      <c r="Q95" s="272"/>
      <c r="T95" s="263"/>
      <c r="U95" s="271"/>
      <c r="X95" s="263"/>
      <c r="Y95" s="272"/>
      <c r="AB95" s="263"/>
      <c r="AC95" s="272"/>
      <c r="AF95" s="263"/>
      <c r="AG95" s="272"/>
      <c r="AJ95" s="263"/>
      <c r="AK95" s="272"/>
      <c r="AN95" s="261"/>
      <c r="AO95" s="271"/>
      <c r="AR95" s="261"/>
      <c r="AS95" s="271"/>
      <c r="AV95" s="261"/>
      <c r="AW95" s="271"/>
      <c r="AZ95" s="261"/>
      <c r="BA95" s="271"/>
      <c r="BD95" s="261"/>
      <c r="BE95" s="271"/>
      <c r="BH95" s="261"/>
      <c r="BI95" s="271"/>
      <c r="BL95" s="261"/>
      <c r="BM95" s="271"/>
      <c r="BP95" s="261"/>
      <c r="BQ95" s="271"/>
      <c r="BT95" s="261"/>
      <c r="BU95" s="271"/>
      <c r="BX95" s="261"/>
      <c r="BY95" s="271"/>
      <c r="CB95" s="261"/>
      <c r="CC95" s="271"/>
      <c r="CD95" s="258"/>
      <c r="CE95" s="258"/>
      <c r="CF95" s="260"/>
      <c r="CG95" s="271"/>
      <c r="CJ95" s="261"/>
      <c r="CK95" s="271"/>
      <c r="CN95" s="261"/>
      <c r="CO95" s="271"/>
      <c r="CR95" s="261"/>
      <c r="CS95" s="271"/>
      <c r="CV95" s="261"/>
      <c r="CW95" s="271"/>
      <c r="CZ95" s="261"/>
      <c r="DA95" s="271"/>
      <c r="DD95" s="261"/>
      <c r="DE95" s="271"/>
    </row>
    <row r="96" spans="1:109" ht="12.75">
      <c r="A96" s="253"/>
      <c r="F96" s="190"/>
      <c r="G96" s="269"/>
      <c r="H96" s="270"/>
      <c r="I96" s="270"/>
      <c r="J96" s="194"/>
      <c r="L96" s="263"/>
      <c r="M96" s="271"/>
      <c r="P96" s="263"/>
      <c r="Q96" s="272"/>
      <c r="T96" s="263"/>
      <c r="U96" s="271"/>
      <c r="X96" s="263"/>
      <c r="Y96" s="272"/>
      <c r="AB96" s="263"/>
      <c r="AC96" s="272"/>
      <c r="AF96" s="263"/>
      <c r="AG96" s="272"/>
      <c r="AJ96" s="263"/>
      <c r="AK96" s="272"/>
      <c r="AN96" s="261"/>
      <c r="AO96" s="271"/>
      <c r="AR96" s="261"/>
      <c r="AS96" s="271"/>
      <c r="AV96" s="261"/>
      <c r="AW96" s="271"/>
      <c r="AZ96" s="261"/>
      <c r="BA96" s="271"/>
      <c r="BD96" s="261"/>
      <c r="BE96" s="271"/>
      <c r="BH96" s="261"/>
      <c r="BI96" s="271"/>
      <c r="BL96" s="261"/>
      <c r="BM96" s="271"/>
      <c r="BP96" s="261"/>
      <c r="BQ96" s="271"/>
      <c r="BT96" s="261"/>
      <c r="BU96" s="271"/>
      <c r="BX96" s="261"/>
      <c r="BY96" s="271"/>
      <c r="CB96" s="261"/>
      <c r="CC96" s="271"/>
      <c r="CD96" s="258"/>
      <c r="CE96" s="258"/>
      <c r="CF96" s="260"/>
      <c r="CG96" s="271"/>
      <c r="CJ96" s="261"/>
      <c r="CK96" s="271"/>
      <c r="CN96" s="261"/>
      <c r="CO96" s="271"/>
      <c r="CR96" s="261"/>
      <c r="CS96" s="271"/>
      <c r="CV96" s="261"/>
      <c r="CW96" s="271"/>
      <c r="CZ96" s="261"/>
      <c r="DA96" s="271"/>
      <c r="DD96" s="261"/>
      <c r="DE96" s="271"/>
    </row>
  </sheetData>
  <sheetProtection/>
  <mergeCells count="54">
    <mergeCell ref="CH1:CK1"/>
    <mergeCell ref="CH2:CH6"/>
    <mergeCell ref="BV1:BY1"/>
    <mergeCell ref="BZ1:CC1"/>
    <mergeCell ref="CD1:CG1"/>
    <mergeCell ref="BV2:BV6"/>
    <mergeCell ref="BZ2:BZ6"/>
    <mergeCell ref="CD2:CD6"/>
    <mergeCell ref="I2:I6"/>
    <mergeCell ref="G2:G6"/>
    <mergeCell ref="BJ1:BM1"/>
    <mergeCell ref="BJ2:BJ6"/>
    <mergeCell ref="AL1:AO1"/>
    <mergeCell ref="AP1:AS1"/>
    <mergeCell ref="AL2:AL6"/>
    <mergeCell ref="AP2:AP6"/>
    <mergeCell ref="AT1:AW1"/>
    <mergeCell ref="AX1:BA1"/>
    <mergeCell ref="Z1:AC1"/>
    <mergeCell ref="Z2:Z6"/>
    <mergeCell ref="AD1:AG1"/>
    <mergeCell ref="AD2:AD6"/>
    <mergeCell ref="AT2:AT6"/>
    <mergeCell ref="AX2:AX6"/>
    <mergeCell ref="AH1:AK1"/>
    <mergeCell ref="AH2:AH6"/>
    <mergeCell ref="B2:F6"/>
    <mergeCell ref="V1:Y1"/>
    <mergeCell ref="V2:V6"/>
    <mergeCell ref="H2:H6"/>
    <mergeCell ref="N2:N6"/>
    <mergeCell ref="J1:M1"/>
    <mergeCell ref="N1:Q1"/>
    <mergeCell ref="R1:U1"/>
    <mergeCell ref="R2:R6"/>
    <mergeCell ref="J2:J6"/>
    <mergeCell ref="BN1:BQ1"/>
    <mergeCell ref="BN2:BN6"/>
    <mergeCell ref="BR1:BU1"/>
    <mergeCell ref="BR2:BR6"/>
    <mergeCell ref="BB1:BE1"/>
    <mergeCell ref="BF1:BI1"/>
    <mergeCell ref="BB2:BB6"/>
    <mergeCell ref="BF2:BF6"/>
    <mergeCell ref="CX1:DA1"/>
    <mergeCell ref="DB1:DE1"/>
    <mergeCell ref="CX2:CX6"/>
    <mergeCell ref="DB2:DB6"/>
    <mergeCell ref="CL1:CO1"/>
    <mergeCell ref="CL2:CL6"/>
    <mergeCell ref="CP1:CS1"/>
    <mergeCell ref="CT1:CW1"/>
    <mergeCell ref="CP2:CP6"/>
    <mergeCell ref="CT2:CT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32"/>
  <sheetViews>
    <sheetView tabSelected="1" zoomScalePageLayoutView="0" workbookViewId="0" topLeftCell="A1">
      <pane xSplit="9" ySplit="7" topLeftCell="J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15" sqref="G15"/>
    </sheetView>
  </sheetViews>
  <sheetFormatPr defaultColWidth="8.8515625" defaultRowHeight="12.75"/>
  <cols>
    <col min="1" max="1" width="4.7109375" style="461" customWidth="1"/>
    <col min="2" max="2" width="25.421875" style="494" customWidth="1"/>
    <col min="3" max="3" width="5.140625" style="371" customWidth="1"/>
    <col min="4" max="4" width="32.28125" style="371" customWidth="1"/>
    <col min="5" max="5" width="3.421875" style="495" customWidth="1"/>
    <col min="6" max="6" width="5.8515625" style="190" customWidth="1"/>
    <col min="7" max="9" width="8.57421875" style="534" customWidth="1"/>
    <col min="10" max="10" width="8.8515625" style="497" customWidth="1"/>
    <col min="11" max="11" width="4.00390625" style="370" customWidth="1"/>
    <col min="12" max="12" width="10.140625" style="498" customWidth="1"/>
    <col min="13" max="13" width="7.57421875" style="499" customWidth="1"/>
    <col min="14" max="14" width="8.8515625" style="497" customWidth="1"/>
    <col min="15" max="15" width="4.00390625" style="370" customWidth="1"/>
    <col min="16" max="16" width="10.140625" style="498" customWidth="1"/>
    <col min="17" max="17" width="7.57421875" style="499" customWidth="1"/>
    <col min="18" max="18" width="8.8515625" style="497" customWidth="1"/>
    <col min="19" max="19" width="4.00390625" style="370" customWidth="1"/>
    <col min="20" max="20" width="10.140625" style="498" customWidth="1"/>
    <col min="21" max="21" width="7.57421875" style="499" customWidth="1"/>
    <col min="22" max="22" width="8.8515625" style="497" customWidth="1"/>
    <col min="23" max="23" width="4.00390625" style="370" customWidth="1"/>
    <col min="24" max="24" width="10.140625" style="498" customWidth="1"/>
    <col min="25" max="25" width="7.57421875" style="499" customWidth="1"/>
    <col min="26" max="26" width="8.8515625" style="497" customWidth="1"/>
    <col min="27" max="27" width="4.00390625" style="370" customWidth="1"/>
    <col min="28" max="28" width="10.140625" style="498" customWidth="1"/>
    <col min="29" max="29" width="7.57421875" style="499" customWidth="1"/>
    <col min="30" max="30" width="8.8515625" style="497" customWidth="1"/>
    <col min="31" max="31" width="4.00390625" style="497" customWidth="1"/>
    <col min="32" max="32" width="10.140625" style="498" customWidth="1"/>
    <col min="33" max="33" width="7.57421875" style="499" customWidth="1"/>
    <col min="34" max="34" width="8.8515625" style="497" customWidth="1"/>
    <col min="35" max="35" width="4.00390625" style="497" customWidth="1"/>
    <col min="36" max="36" width="10.140625" style="498" customWidth="1"/>
    <col min="37" max="37" width="7.57421875" style="499" customWidth="1"/>
    <col min="38" max="38" width="8.8515625" style="497" customWidth="1"/>
    <col min="39" max="39" width="4.00390625" style="497" customWidth="1"/>
    <col min="40" max="40" width="10.140625" style="498" customWidth="1"/>
    <col min="41" max="41" width="7.57421875" style="499" customWidth="1"/>
    <col min="42" max="42" width="8.8515625" style="372" customWidth="1"/>
    <col min="43" max="43" width="4.00390625" style="387" customWidth="1"/>
    <col min="44" max="44" width="10.140625" style="501" customWidth="1"/>
    <col min="45" max="45" width="7.57421875" style="509" customWidth="1"/>
    <col min="46" max="46" width="8.28125" style="387" customWidth="1"/>
    <col min="47" max="47" width="4.140625" style="387" customWidth="1"/>
    <col min="48" max="48" width="9.28125" style="501" customWidth="1"/>
    <col min="49" max="49" width="8.421875" style="387" customWidth="1"/>
    <col min="50" max="50" width="8.28125" style="387" customWidth="1"/>
    <col min="51" max="51" width="4.140625" style="387" customWidth="1"/>
    <col min="52" max="52" width="9.28125" style="501" customWidth="1"/>
    <col min="53" max="53" width="8.421875" style="387" customWidth="1"/>
    <col min="54" max="54" width="8.28125" style="387" customWidth="1"/>
    <col min="55" max="55" width="4.140625" style="387" customWidth="1"/>
    <col min="56" max="56" width="9.28125" style="501" customWidth="1"/>
    <col min="57" max="57" width="8.421875" style="387" customWidth="1"/>
    <col min="58" max="58" width="8.28125" style="387" customWidth="1"/>
    <col min="59" max="59" width="4.140625" style="387" customWidth="1"/>
    <col min="60" max="60" width="9.28125" style="501" customWidth="1"/>
    <col min="61" max="61" width="8.421875" style="387" customWidth="1"/>
    <col min="62" max="62" width="8.28125" style="387" customWidth="1"/>
    <col min="63" max="63" width="4.140625" style="387" customWidth="1"/>
    <col min="64" max="64" width="9.28125" style="503" customWidth="1"/>
    <col min="65" max="65" width="8.421875" style="387" customWidth="1"/>
    <col min="66" max="66" width="8.28125" style="387" customWidth="1"/>
    <col min="67" max="67" width="4.140625" style="387" customWidth="1"/>
    <col min="68" max="68" width="9.28125" style="503" customWidth="1"/>
    <col min="69" max="69" width="8.421875" style="387" customWidth="1"/>
    <col min="70" max="70" width="8.28125" style="387" customWidth="1"/>
    <col min="71" max="71" width="4.140625" style="387" customWidth="1"/>
    <col min="72" max="72" width="9.28125" style="503" customWidth="1"/>
    <col min="73" max="73" width="8.421875" style="387" customWidth="1"/>
    <col min="74" max="74" width="8.28125" style="387" customWidth="1"/>
    <col min="75" max="75" width="4.140625" style="387" customWidth="1"/>
    <col min="76" max="76" width="9.28125" style="503" customWidth="1"/>
    <col min="77" max="77" width="8.421875" style="387" customWidth="1"/>
    <col min="78" max="78" width="8.28125" style="387" customWidth="1"/>
    <col min="79" max="79" width="4.140625" style="387" customWidth="1"/>
    <col min="80" max="80" width="9.28125" style="503" customWidth="1"/>
    <col min="81" max="81" width="8.421875" style="387" customWidth="1"/>
    <col min="82" max="82" width="8.28125" style="387" customWidth="1"/>
    <col min="83" max="83" width="4.140625" style="387" customWidth="1"/>
    <col min="84" max="84" width="9.28125" style="503" customWidth="1"/>
    <col min="85" max="85" width="8.421875" style="387" customWidth="1"/>
    <col min="86" max="86" width="8.28125" style="387" customWidth="1"/>
    <col min="87" max="87" width="4.140625" style="387" customWidth="1"/>
    <col min="88" max="88" width="9.28125" style="503" customWidth="1"/>
    <col min="89" max="89" width="8.421875" style="387" customWidth="1"/>
    <col min="90" max="90" width="8.28125" style="387" customWidth="1"/>
    <col min="91" max="91" width="4.140625" style="387" customWidth="1"/>
    <col min="92" max="92" width="9.28125" style="503" customWidth="1"/>
    <col min="93" max="93" width="8.421875" style="387" customWidth="1"/>
    <col min="94" max="94" width="8.28125" style="387" customWidth="1"/>
    <col min="95" max="95" width="4.140625" style="387" customWidth="1"/>
    <col min="96" max="96" width="9.28125" style="503" customWidth="1"/>
    <col min="97" max="97" width="8.421875" style="387" customWidth="1"/>
    <col min="98" max="98" width="8.28125" style="387" customWidth="1"/>
    <col min="99" max="99" width="4.140625" style="387" customWidth="1"/>
    <col min="100" max="100" width="9.28125" style="503" customWidth="1"/>
    <col min="101" max="101" width="8.421875" style="387" customWidth="1"/>
    <col min="102" max="102" width="8.28125" style="387" customWidth="1"/>
    <col min="103" max="103" width="4.140625" style="387" customWidth="1"/>
    <col min="104" max="104" width="9.28125" style="503" bestFit="1" customWidth="1"/>
    <col min="105" max="105" width="8.421875" style="387" customWidth="1"/>
    <col min="106" max="106" width="8.28125" style="387" customWidth="1"/>
    <col min="107" max="107" width="4.140625" style="387" customWidth="1"/>
    <col min="108" max="108" width="9.28125" style="503" bestFit="1" customWidth="1"/>
    <col min="109" max="109" width="8.421875" style="387" customWidth="1"/>
    <col min="110" max="16384" width="8.8515625" style="485" customWidth="1"/>
  </cols>
  <sheetData>
    <row r="1" spans="1:109" s="387" customFormat="1" ht="33" customHeight="1">
      <c r="A1" s="369"/>
      <c r="B1" s="370"/>
      <c r="C1" s="371"/>
      <c r="D1" s="371"/>
      <c r="E1" s="371"/>
      <c r="F1" s="190"/>
      <c r="G1" s="373"/>
      <c r="H1" s="374"/>
      <c r="I1" s="373"/>
      <c r="J1" s="375" t="s">
        <v>402</v>
      </c>
      <c r="K1" s="376"/>
      <c r="L1" s="376"/>
      <c r="M1" s="377"/>
      <c r="N1" s="375" t="s">
        <v>429</v>
      </c>
      <c r="O1" s="376"/>
      <c r="P1" s="376"/>
      <c r="Q1" s="377"/>
      <c r="R1" s="378" t="s">
        <v>432</v>
      </c>
      <c r="S1" s="379"/>
      <c r="T1" s="379"/>
      <c r="U1" s="380"/>
      <c r="V1" s="378" t="s">
        <v>439</v>
      </c>
      <c r="W1" s="379"/>
      <c r="X1" s="379"/>
      <c r="Y1" s="380"/>
      <c r="Z1" s="378" t="s">
        <v>466</v>
      </c>
      <c r="AA1" s="379"/>
      <c r="AB1" s="379"/>
      <c r="AC1" s="380"/>
      <c r="AD1" s="378" t="s">
        <v>467</v>
      </c>
      <c r="AE1" s="379"/>
      <c r="AF1" s="379"/>
      <c r="AG1" s="380"/>
      <c r="AH1" s="378" t="s">
        <v>468</v>
      </c>
      <c r="AI1" s="379"/>
      <c r="AJ1" s="379"/>
      <c r="AK1" s="380"/>
      <c r="AL1" s="381" t="s">
        <v>635</v>
      </c>
      <c r="AM1" s="382"/>
      <c r="AN1" s="382"/>
      <c r="AO1" s="383"/>
      <c r="AP1" s="381" t="s">
        <v>636</v>
      </c>
      <c r="AQ1" s="382"/>
      <c r="AR1" s="382"/>
      <c r="AS1" s="383"/>
      <c r="AT1" s="381" t="s">
        <v>653</v>
      </c>
      <c r="AU1" s="382"/>
      <c r="AV1" s="382"/>
      <c r="AW1" s="383"/>
      <c r="AX1" s="381" t="s">
        <v>654</v>
      </c>
      <c r="AY1" s="382"/>
      <c r="AZ1" s="382"/>
      <c r="BA1" s="383"/>
      <c r="BB1" s="381" t="s">
        <v>655</v>
      </c>
      <c r="BC1" s="382"/>
      <c r="BD1" s="382"/>
      <c r="BE1" s="383"/>
      <c r="BF1" s="384" t="s">
        <v>730</v>
      </c>
      <c r="BG1" s="385"/>
      <c r="BH1" s="385"/>
      <c r="BI1" s="386"/>
      <c r="BJ1" s="384" t="s">
        <v>731</v>
      </c>
      <c r="BK1" s="385"/>
      <c r="BL1" s="385"/>
      <c r="BM1" s="386"/>
      <c r="BN1" s="384" t="s">
        <v>732</v>
      </c>
      <c r="BO1" s="385"/>
      <c r="BP1" s="385"/>
      <c r="BQ1" s="386"/>
      <c r="BR1" s="384" t="s">
        <v>733</v>
      </c>
      <c r="BS1" s="385"/>
      <c r="BT1" s="385"/>
      <c r="BU1" s="386"/>
      <c r="BV1" s="384" t="s">
        <v>734</v>
      </c>
      <c r="BW1" s="385"/>
      <c r="BX1" s="385"/>
      <c r="BY1" s="386"/>
      <c r="BZ1" s="384" t="s">
        <v>735</v>
      </c>
      <c r="CA1" s="385"/>
      <c r="CB1" s="385"/>
      <c r="CC1" s="386"/>
      <c r="CD1" s="384" t="s">
        <v>824</v>
      </c>
      <c r="CE1" s="385"/>
      <c r="CF1" s="385"/>
      <c r="CG1" s="386"/>
      <c r="CH1" s="384" t="s">
        <v>825</v>
      </c>
      <c r="CI1" s="385"/>
      <c r="CJ1" s="385"/>
      <c r="CK1" s="386"/>
      <c r="CL1" s="384" t="s">
        <v>832</v>
      </c>
      <c r="CM1" s="385"/>
      <c r="CN1" s="385"/>
      <c r="CO1" s="386"/>
      <c r="CP1" s="381" t="s">
        <v>851</v>
      </c>
      <c r="CQ1" s="382"/>
      <c r="CR1" s="382"/>
      <c r="CS1" s="383"/>
      <c r="CT1" s="381" t="s">
        <v>852</v>
      </c>
      <c r="CU1" s="382"/>
      <c r="CV1" s="382"/>
      <c r="CW1" s="383"/>
      <c r="CX1" s="381" t="s">
        <v>859</v>
      </c>
      <c r="CY1" s="382"/>
      <c r="CZ1" s="382"/>
      <c r="DA1" s="383"/>
      <c r="DB1" s="381" t="s">
        <v>860</v>
      </c>
      <c r="DC1" s="382"/>
      <c r="DD1" s="382"/>
      <c r="DE1" s="383"/>
    </row>
    <row r="2" spans="1:109" s="387" customFormat="1" ht="15" customHeight="1">
      <c r="A2" s="369"/>
      <c r="B2" s="388" t="s">
        <v>89</v>
      </c>
      <c r="C2" s="389"/>
      <c r="D2" s="389"/>
      <c r="E2" s="389"/>
      <c r="F2" s="389"/>
      <c r="G2" s="390" t="s">
        <v>751</v>
      </c>
      <c r="H2" s="390" t="s">
        <v>154</v>
      </c>
      <c r="I2" s="390" t="s">
        <v>312</v>
      </c>
      <c r="J2" s="391">
        <v>1</v>
      </c>
      <c r="K2" s="392" t="s">
        <v>1</v>
      </c>
      <c r="L2" s="393">
        <f>Varz1NLV1</f>
        <v>0.033483796296296296</v>
      </c>
      <c r="M2" s="394">
        <f>Varz1VK*Varz1TKV1</f>
        <v>1000</v>
      </c>
      <c r="N2" s="395">
        <v>2</v>
      </c>
      <c r="O2" s="396" t="s">
        <v>1</v>
      </c>
      <c r="P2" s="397">
        <f>Varz2NLV1</f>
        <v>0.04096064814814815</v>
      </c>
      <c r="Q2" s="398">
        <f>Varz2VK*Varz2TKV1</f>
        <v>1000</v>
      </c>
      <c r="R2" s="395">
        <v>3</v>
      </c>
      <c r="S2" s="396" t="s">
        <v>1</v>
      </c>
      <c r="T2" s="397">
        <f>Varz3NLV1</f>
        <v>0.06010416666666666</v>
      </c>
      <c r="U2" s="398">
        <f>Varz3VK*Varz3TKV1</f>
        <v>1000</v>
      </c>
      <c r="V2" s="395">
        <v>4</v>
      </c>
      <c r="W2" s="396" t="s">
        <v>1</v>
      </c>
      <c r="X2" s="397">
        <f>Varz4NLV1</f>
        <v>0.048495370370370376</v>
      </c>
      <c r="Y2" s="398">
        <f>Varz4VK*Varz4TKV1</f>
        <v>1000</v>
      </c>
      <c r="Z2" s="395">
        <v>5</v>
      </c>
      <c r="AA2" s="396" t="s">
        <v>1</v>
      </c>
      <c r="AB2" s="397">
        <f>Varz5NLV1</f>
        <v>0.01355324074074074</v>
      </c>
      <c r="AC2" s="398">
        <f>Varz5VK*Varz5TKV1</f>
        <v>1050</v>
      </c>
      <c r="AD2" s="395">
        <v>6</v>
      </c>
      <c r="AE2" s="399" t="s">
        <v>1</v>
      </c>
      <c r="AF2" s="397">
        <f>Varz6NLV1</f>
        <v>0.06166666666666667</v>
      </c>
      <c r="AG2" s="398">
        <f>Varz6VK*Varz6TKV1</f>
        <v>1050</v>
      </c>
      <c r="AH2" s="395">
        <v>7</v>
      </c>
      <c r="AI2" s="399" t="s">
        <v>1</v>
      </c>
      <c r="AJ2" s="397">
        <f>Varz7NLV1</f>
        <v>0.04462962962962963</v>
      </c>
      <c r="AK2" s="398">
        <f>Varz7VK*Varz7TKV1</f>
        <v>1050</v>
      </c>
      <c r="AL2" s="400">
        <v>8</v>
      </c>
      <c r="AM2" s="401" t="s">
        <v>1</v>
      </c>
      <c r="AN2" s="402">
        <f>Varz8NLV1</f>
        <v>0.07762731481481482</v>
      </c>
      <c r="AO2" s="403">
        <f>Varz8VK*Varz8TKV1</f>
        <v>1100</v>
      </c>
      <c r="AP2" s="404">
        <v>9</v>
      </c>
      <c r="AQ2" s="405" t="s">
        <v>1</v>
      </c>
      <c r="AR2" s="406">
        <f>Varz9NLV1</f>
        <v>0.019953703703703706</v>
      </c>
      <c r="AS2" s="407">
        <f>Varz9VK*Varz9TKV1</f>
        <v>1100</v>
      </c>
      <c r="AT2" s="404">
        <v>10</v>
      </c>
      <c r="AU2" s="405" t="s">
        <v>1</v>
      </c>
      <c r="AV2" s="406">
        <f>Varz10NLV1</f>
        <v>0.01916666666666667</v>
      </c>
      <c r="AW2" s="407">
        <f>Varz10VK*Varz10TKV1</f>
        <v>1050</v>
      </c>
      <c r="AX2" s="404">
        <v>11</v>
      </c>
      <c r="AY2" s="405" t="s">
        <v>1</v>
      </c>
      <c r="AZ2" s="406">
        <f>Varz11NLV1</f>
        <v>0.032326388888888884</v>
      </c>
      <c r="BA2" s="407">
        <f>Varz12VK*Varz12TKV1</f>
        <v>1050</v>
      </c>
      <c r="BB2" s="404">
        <v>12</v>
      </c>
      <c r="BC2" s="405" t="s">
        <v>1</v>
      </c>
      <c r="BD2" s="406">
        <f>Varz12NLV1</f>
        <v>0.04541666666666667</v>
      </c>
      <c r="BE2" s="407">
        <f>Varz12VK*Varz12TKV1</f>
        <v>1050</v>
      </c>
      <c r="BF2" s="408">
        <v>13</v>
      </c>
      <c r="BG2" s="409" t="s">
        <v>1</v>
      </c>
      <c r="BH2" s="410">
        <f>Varz13NLV1</f>
        <v>0.024560185185185185</v>
      </c>
      <c r="BI2" s="411">
        <f>Varz13VK*Varz13TKV1</f>
        <v>1000</v>
      </c>
      <c r="BJ2" s="408">
        <v>14</v>
      </c>
      <c r="BK2" s="409" t="s">
        <v>1</v>
      </c>
      <c r="BL2" s="410">
        <f>Varz14NLV1</f>
        <v>0.009849537037037037</v>
      </c>
      <c r="BM2" s="411">
        <f>Varz14VK*Varz14TKV1</f>
        <v>1000</v>
      </c>
      <c r="BN2" s="408">
        <v>15</v>
      </c>
      <c r="BO2" s="409" t="s">
        <v>1</v>
      </c>
      <c r="BP2" s="410">
        <f>Varz15NLV1</f>
        <v>0.05216435185185186</v>
      </c>
      <c r="BQ2" s="411">
        <f>Varz15VK*Varz15TKV1</f>
        <v>1000</v>
      </c>
      <c r="BR2" s="408">
        <v>16</v>
      </c>
      <c r="BS2" s="409" t="s">
        <v>1</v>
      </c>
      <c r="BT2" s="410">
        <f>Varz16NLV1</f>
        <v>0.032962962962962965</v>
      </c>
      <c r="BU2" s="411">
        <f>Varz16VK*Varz16TKV1</f>
        <v>1000</v>
      </c>
      <c r="BV2" s="408">
        <v>17</v>
      </c>
      <c r="BW2" s="409" t="s">
        <v>1</v>
      </c>
      <c r="BX2" s="410">
        <f>Varz17NLV1</f>
        <v>0.036909722222222226</v>
      </c>
      <c r="BY2" s="411">
        <f>Varz17VK*Varz17TKV1</f>
        <v>1050</v>
      </c>
      <c r="BZ2" s="408">
        <v>18</v>
      </c>
      <c r="CA2" s="409" t="s">
        <v>1</v>
      </c>
      <c r="CB2" s="410">
        <f>Varz18NLV1</f>
        <v>0.07099537037037036</v>
      </c>
      <c r="CC2" s="411">
        <f>Varz18VK*Varz18TKV1</f>
        <v>1050</v>
      </c>
      <c r="CD2" s="404">
        <v>20</v>
      </c>
      <c r="CE2" s="405" t="s">
        <v>1</v>
      </c>
      <c r="CF2" s="406">
        <f>Varz20NLV1</f>
        <v>0.03577546296296296</v>
      </c>
      <c r="CG2" s="407">
        <f>Varz20VK*Varz20TKV1</f>
        <v>1100</v>
      </c>
      <c r="CH2" s="404">
        <v>21</v>
      </c>
      <c r="CI2" s="405" t="s">
        <v>1</v>
      </c>
      <c r="CJ2" s="406">
        <f>Varz21NLV1</f>
        <v>0.013194444444444444</v>
      </c>
      <c r="CK2" s="407">
        <f>Varz21VK*Varz21TKV1</f>
        <v>1000</v>
      </c>
      <c r="CL2" s="404">
        <v>22</v>
      </c>
      <c r="CM2" s="405" t="s">
        <v>1</v>
      </c>
      <c r="CN2" s="406">
        <f>Varz22NLV1</f>
        <v>0.05643518518518518</v>
      </c>
      <c r="CO2" s="407">
        <f>Varz22VK*Varz22TKV1</f>
        <v>1000</v>
      </c>
      <c r="CP2" s="404">
        <v>23</v>
      </c>
      <c r="CQ2" s="405" t="s">
        <v>1</v>
      </c>
      <c r="CR2" s="406">
        <f>Varz23NLV1</f>
        <v>0.03363425925925926</v>
      </c>
      <c r="CS2" s="407">
        <f>Varz23VK*Varz23TKV1</f>
        <v>1000</v>
      </c>
      <c r="CT2" s="404">
        <v>24</v>
      </c>
      <c r="CU2" s="405" t="s">
        <v>1</v>
      </c>
      <c r="CV2" s="406">
        <f>Varz24NLV1</f>
        <v>0.01392361111111111</v>
      </c>
      <c r="CW2" s="407">
        <f>Varz24VK*Varz24TKV1</f>
        <v>1000</v>
      </c>
      <c r="CX2" s="404">
        <v>25</v>
      </c>
      <c r="CY2" s="405" t="s">
        <v>1</v>
      </c>
      <c r="CZ2" s="406">
        <f>Varz25NLV1</f>
        <v>0.05194444444444444</v>
      </c>
      <c r="DA2" s="407">
        <f>Varz25VK*Varz25TKV1</f>
        <v>1000</v>
      </c>
      <c r="DB2" s="404">
        <v>26</v>
      </c>
      <c r="DC2" s="405" t="s">
        <v>1</v>
      </c>
      <c r="DD2" s="406">
        <f>Varz26NLV1</f>
        <v>0.04271990740740741</v>
      </c>
      <c r="DE2" s="407">
        <f>Varz26VK*Varz26TKV1</f>
        <v>1000</v>
      </c>
    </row>
    <row r="3" spans="1:109" s="387" customFormat="1" ht="15" customHeight="1">
      <c r="A3" s="369"/>
      <c r="B3" s="412"/>
      <c r="C3" s="413"/>
      <c r="D3" s="413"/>
      <c r="E3" s="413"/>
      <c r="F3" s="413"/>
      <c r="G3" s="414"/>
      <c r="H3" s="414"/>
      <c r="I3" s="414"/>
      <c r="J3" s="415"/>
      <c r="K3" s="416" t="s">
        <v>2</v>
      </c>
      <c r="L3" s="417">
        <f>Varz1NLV2</f>
        <v>0.03298611111111111</v>
      </c>
      <c r="M3" s="418">
        <f>Varz1VK*Varz1TKV2</f>
        <v>800</v>
      </c>
      <c r="N3" s="419"/>
      <c r="O3" s="420" t="s">
        <v>2</v>
      </c>
      <c r="P3" s="421">
        <f>Varz2NLV2</f>
        <v>0.04923611111111111</v>
      </c>
      <c r="Q3" s="422">
        <f>Varz2VK*Varz2TKV2</f>
        <v>800</v>
      </c>
      <c r="R3" s="419"/>
      <c r="S3" s="420" t="s">
        <v>2</v>
      </c>
      <c r="T3" s="421">
        <f>Varz3NLV2</f>
        <v>0.05637731481481482</v>
      </c>
      <c r="U3" s="422">
        <f>Varz3VK*Varz3TKV2</f>
        <v>800</v>
      </c>
      <c r="V3" s="419"/>
      <c r="W3" s="420" t="s">
        <v>2</v>
      </c>
      <c r="X3" s="421">
        <f>Varz4NLV2</f>
        <v>0.04716435185185185</v>
      </c>
      <c r="Y3" s="422">
        <f>Varz4VK*Varz4TKV2</f>
        <v>800</v>
      </c>
      <c r="Z3" s="419"/>
      <c r="AA3" s="420" t="s">
        <v>2</v>
      </c>
      <c r="AB3" s="421">
        <f>Varz5NLV2</f>
        <v>0.012083333333333333</v>
      </c>
      <c r="AC3" s="423">
        <f>Varz5VK*Varz5TKV2</f>
        <v>892.5</v>
      </c>
      <c r="AD3" s="419"/>
      <c r="AE3" s="424" t="s">
        <v>2</v>
      </c>
      <c r="AF3" s="421">
        <f>Varz6NLV2</f>
        <v>0.054699074074074074</v>
      </c>
      <c r="AG3" s="423">
        <f>Varz6VK*Varz6TKV2</f>
        <v>892.5</v>
      </c>
      <c r="AH3" s="419"/>
      <c r="AI3" s="424" t="s">
        <v>2</v>
      </c>
      <c r="AJ3" s="421">
        <f>Varz7NLV2</f>
        <v>0.03686342592592593</v>
      </c>
      <c r="AK3" s="423">
        <f>Varz7VK*Varz7TKV2</f>
        <v>892.5</v>
      </c>
      <c r="AL3" s="425"/>
      <c r="AM3" s="426" t="s">
        <v>2</v>
      </c>
      <c r="AN3" s="427">
        <f>Varz8NLV2</f>
        <v>0.09981481481481481</v>
      </c>
      <c r="AO3" s="428">
        <f>Varz8VK*Varz8TKV2</f>
        <v>841.5000000000001</v>
      </c>
      <c r="AP3" s="429"/>
      <c r="AQ3" s="430" t="s">
        <v>2</v>
      </c>
      <c r="AR3" s="431">
        <f>Varz9NLV2</f>
        <v>0.018784722222222223</v>
      </c>
      <c r="AS3" s="432">
        <f>Varz9VK*Varz9TKV2</f>
        <v>880.0000000000001</v>
      </c>
      <c r="AT3" s="429"/>
      <c r="AU3" s="430" t="s">
        <v>2</v>
      </c>
      <c r="AV3" s="431">
        <f>Varz10NLV2</f>
        <v>0.01934027777777778</v>
      </c>
      <c r="AW3" s="432">
        <f>Varz10VK*Varz10TKV2</f>
        <v>840</v>
      </c>
      <c r="AX3" s="429"/>
      <c r="AY3" s="430" t="s">
        <v>2</v>
      </c>
      <c r="AZ3" s="431">
        <f>Varz11NLV2</f>
        <v>0.028101851851851854</v>
      </c>
      <c r="BA3" s="432">
        <f>Varz12VK*Varz12TKV2</f>
        <v>840</v>
      </c>
      <c r="BB3" s="429"/>
      <c r="BC3" s="430" t="s">
        <v>2</v>
      </c>
      <c r="BD3" s="431">
        <f>Varz12NLV2</f>
        <v>0.03864583333333333</v>
      </c>
      <c r="BE3" s="432">
        <f>Varz12VK*Varz12TKV2</f>
        <v>840</v>
      </c>
      <c r="BF3" s="433"/>
      <c r="BG3" s="434" t="s">
        <v>2</v>
      </c>
      <c r="BH3" s="435">
        <f>Varz13NLV2</f>
        <v>0.028993055555555553</v>
      </c>
      <c r="BI3" s="436">
        <f>Varz13VK*Varz13TKV2</f>
        <v>800</v>
      </c>
      <c r="BJ3" s="433"/>
      <c r="BK3" s="434" t="s">
        <v>2</v>
      </c>
      <c r="BL3" s="435">
        <f>Varz14NLV2</f>
        <v>0.011782407407407406</v>
      </c>
      <c r="BM3" s="436">
        <f>Varz14VK*Varz14TKV2</f>
        <v>800</v>
      </c>
      <c r="BN3" s="433"/>
      <c r="BO3" s="434" t="s">
        <v>2</v>
      </c>
      <c r="BP3" s="435">
        <f>Varz15NLV2</f>
        <v>0.05331018518518518</v>
      </c>
      <c r="BQ3" s="437">
        <f>Varz15VK*Varz15TKV2</f>
        <v>800</v>
      </c>
      <c r="BR3" s="433"/>
      <c r="BS3" s="434" t="s">
        <v>2</v>
      </c>
      <c r="BT3" s="435">
        <f>Varz16NLV2</f>
        <v>0.035208333333333335</v>
      </c>
      <c r="BU3" s="437">
        <f>Varz16VK*Varz16TKV2</f>
        <v>800</v>
      </c>
      <c r="BV3" s="433"/>
      <c r="BW3" s="434" t="s">
        <v>2</v>
      </c>
      <c r="BX3" s="435">
        <f>Varz17NLV2</f>
        <v>0</v>
      </c>
      <c r="BY3" s="437">
        <f>Varz17VK*Varz17TKV2</f>
        <v>840</v>
      </c>
      <c r="BZ3" s="433"/>
      <c r="CA3" s="434" t="s">
        <v>2</v>
      </c>
      <c r="CB3" s="435">
        <f>Varz18NLV2</f>
        <v>0</v>
      </c>
      <c r="CC3" s="437">
        <f>Varz18VK*Varz18TKV2</f>
        <v>840</v>
      </c>
      <c r="CD3" s="429"/>
      <c r="CE3" s="430" t="s">
        <v>2</v>
      </c>
      <c r="CF3" s="431">
        <f>Varz20NLV2</f>
        <v>0.03560185185185185</v>
      </c>
      <c r="CG3" s="432">
        <f>Varz20VK*Varz20TKV2</f>
        <v>880.0000000000001</v>
      </c>
      <c r="CH3" s="429"/>
      <c r="CI3" s="430" t="s">
        <v>2</v>
      </c>
      <c r="CJ3" s="431">
        <f>Varz21NLV2</f>
        <v>0.009710648148148147</v>
      </c>
      <c r="CK3" s="432">
        <f>Varz21VK*Varz21TKV2</f>
        <v>800</v>
      </c>
      <c r="CL3" s="429"/>
      <c r="CM3" s="430" t="s">
        <v>2</v>
      </c>
      <c r="CN3" s="431">
        <f>Varz22NLV2</f>
        <v>0.040949074074074075</v>
      </c>
      <c r="CO3" s="432">
        <f>Varz22VK*Varz22TKV2</f>
        <v>800</v>
      </c>
      <c r="CP3" s="429"/>
      <c r="CQ3" s="430" t="s">
        <v>2</v>
      </c>
      <c r="CR3" s="431">
        <f>Varz23NLV2</f>
        <v>0.036875</v>
      </c>
      <c r="CS3" s="432">
        <f>Varz23VK*Varz23TKV2</f>
        <v>800</v>
      </c>
      <c r="CT3" s="429"/>
      <c r="CU3" s="430" t="s">
        <v>2</v>
      </c>
      <c r="CV3" s="431">
        <f>Varz24NLV2</f>
        <v>0.01570601851851852</v>
      </c>
      <c r="CW3" s="432">
        <f>Varz24VK*Varz24TKV2</f>
        <v>800</v>
      </c>
      <c r="CX3" s="429"/>
      <c r="CY3" s="430" t="s">
        <v>2</v>
      </c>
      <c r="CZ3" s="431">
        <f>Varz25NLV2</f>
        <v>0.04666666666666667</v>
      </c>
      <c r="DA3" s="432">
        <f>Varz25VK*Varz25TKV2</f>
        <v>800</v>
      </c>
      <c r="DB3" s="429"/>
      <c r="DC3" s="430" t="s">
        <v>2</v>
      </c>
      <c r="DD3" s="431">
        <f>Varz26NLV2</f>
        <v>0.0415162037037037</v>
      </c>
      <c r="DE3" s="432">
        <f>Varz26VK*Varz26TKV2</f>
        <v>800</v>
      </c>
    </row>
    <row r="4" spans="1:109" s="387" customFormat="1" ht="15" customHeight="1">
      <c r="A4" s="369"/>
      <c r="B4" s="412"/>
      <c r="C4" s="413"/>
      <c r="D4" s="413"/>
      <c r="E4" s="413"/>
      <c r="F4" s="413"/>
      <c r="G4" s="414"/>
      <c r="H4" s="414"/>
      <c r="I4" s="414"/>
      <c r="J4" s="415"/>
      <c r="K4" s="416" t="s">
        <v>158</v>
      </c>
      <c r="L4" s="417">
        <f>Varz1NLV3</f>
        <v>0.03804398148148148</v>
      </c>
      <c r="M4" s="418">
        <f>Varz1VK*Varz1TKV3</f>
        <v>630</v>
      </c>
      <c r="N4" s="419"/>
      <c r="O4" s="420"/>
      <c r="P4" s="421"/>
      <c r="Q4" s="422"/>
      <c r="R4" s="419"/>
      <c r="S4" s="420" t="s">
        <v>158</v>
      </c>
      <c r="T4" s="421">
        <f>Varz3NLV3</f>
        <v>0</v>
      </c>
      <c r="U4" s="422">
        <f>Varz3VK*Varz3TKV3</f>
        <v>700</v>
      </c>
      <c r="V4" s="419"/>
      <c r="W4" s="420" t="s">
        <v>158</v>
      </c>
      <c r="X4" s="421">
        <f>Varz4NLV3</f>
        <v>0.040011574074074074</v>
      </c>
      <c r="Y4" s="422">
        <f>Varz4VK*Varz4TKV3</f>
        <v>700</v>
      </c>
      <c r="Z4" s="419"/>
      <c r="AA4" s="420" t="s">
        <v>158</v>
      </c>
      <c r="AB4" s="421">
        <f>Varz5NLV3</f>
        <v>0.01105324074074074</v>
      </c>
      <c r="AC4" s="422">
        <f>Varz5VK*Varz5TKV3</f>
        <v>840</v>
      </c>
      <c r="AD4" s="419"/>
      <c r="AE4" s="424" t="s">
        <v>158</v>
      </c>
      <c r="AF4" s="421">
        <f>Varz6NLV3</f>
        <v>0.05663194444444444</v>
      </c>
      <c r="AG4" s="422">
        <f>Varz6VK*Varz6TKV3</f>
        <v>840</v>
      </c>
      <c r="AH4" s="419"/>
      <c r="AI4" s="424" t="s">
        <v>158</v>
      </c>
      <c r="AJ4" s="421">
        <f>Varz7NLV3</f>
        <v>0.03751157407407407</v>
      </c>
      <c r="AK4" s="422">
        <f>Varz7VK*Varz7TKV3</f>
        <v>840</v>
      </c>
      <c r="AL4" s="425"/>
      <c r="AM4" s="426" t="s">
        <v>158</v>
      </c>
      <c r="AN4" s="427">
        <f>Varz8NLV3</f>
        <v>0.06584490740740741</v>
      </c>
      <c r="AO4" s="438">
        <f>Varz8VK*Varz8TKV3</f>
        <v>880.0000000000001</v>
      </c>
      <c r="AP4" s="429"/>
      <c r="AQ4" s="430" t="s">
        <v>158</v>
      </c>
      <c r="AR4" s="431">
        <f>Varz9NLV3</f>
        <v>0.01931712962962963</v>
      </c>
      <c r="AS4" s="432">
        <f>Varz9VK*Varz9TKV3</f>
        <v>770.0000000000001</v>
      </c>
      <c r="AT4" s="429"/>
      <c r="AU4" s="430" t="s">
        <v>158</v>
      </c>
      <c r="AV4" s="431">
        <f>Varz10NLV3</f>
        <v>0.016666666666666666</v>
      </c>
      <c r="AW4" s="432">
        <f>Varz10VK*Varz10TKV3</f>
        <v>735</v>
      </c>
      <c r="AX4" s="429"/>
      <c r="AY4" s="430" t="s">
        <v>158</v>
      </c>
      <c r="AZ4" s="431">
        <f>Varz11NLV3</f>
        <v>0.02596064814814815</v>
      </c>
      <c r="BA4" s="432">
        <f>Varz12VK*Varz12TKV3</f>
        <v>735</v>
      </c>
      <c r="BB4" s="429"/>
      <c r="BC4" s="430" t="s">
        <v>158</v>
      </c>
      <c r="BD4" s="431">
        <f>Varz12NLV3</f>
        <v>0.030138888888888885</v>
      </c>
      <c r="BE4" s="432">
        <f>Varz12VK*Varz12TKV3</f>
        <v>735</v>
      </c>
      <c r="BF4" s="433"/>
      <c r="BG4" s="434" t="s">
        <v>158</v>
      </c>
      <c r="BH4" s="435">
        <f>Varz13NLV3</f>
        <v>0.024710648148148148</v>
      </c>
      <c r="BI4" s="437">
        <f>Varz13VK*Varz13TKV3</f>
        <v>700</v>
      </c>
      <c r="BJ4" s="433"/>
      <c r="BK4" s="434" t="s">
        <v>158</v>
      </c>
      <c r="BL4" s="435">
        <f>Varz14NLV3</f>
        <v>0.011064814814814814</v>
      </c>
      <c r="BM4" s="437">
        <f>Varz14VK*Varz14TKV3</f>
        <v>700</v>
      </c>
      <c r="BN4" s="433"/>
      <c r="BO4" s="434" t="s">
        <v>158</v>
      </c>
      <c r="BP4" s="435">
        <f>Varz15NLV3</f>
        <v>0.03570601851851852</v>
      </c>
      <c r="BQ4" s="437">
        <f>Varz15VK*Varz15TKV3</f>
        <v>700</v>
      </c>
      <c r="BR4" s="433"/>
      <c r="BS4" s="434" t="s">
        <v>158</v>
      </c>
      <c r="BT4" s="435">
        <f>Varz16NLV3</f>
        <v>0.024224537037037034</v>
      </c>
      <c r="BU4" s="437">
        <f>Varz16VK*Varz16TKV3</f>
        <v>700</v>
      </c>
      <c r="BV4" s="433"/>
      <c r="BW4" s="434" t="s">
        <v>158</v>
      </c>
      <c r="BX4" s="435">
        <f>Varz17NLV3</f>
        <v>0</v>
      </c>
      <c r="BY4" s="437">
        <f>Varz17VK*Varz17TKV3</f>
        <v>735</v>
      </c>
      <c r="BZ4" s="433"/>
      <c r="CA4" s="434" t="s">
        <v>158</v>
      </c>
      <c r="CB4" s="435">
        <f>Varz18NLV3</f>
        <v>0</v>
      </c>
      <c r="CC4" s="437">
        <f>Varz18VK*Varz18TKV3</f>
        <v>735</v>
      </c>
      <c r="CD4" s="429"/>
      <c r="CE4" s="430" t="s">
        <v>158</v>
      </c>
      <c r="CF4" s="431">
        <f>Varz20NLV3</f>
        <v>0.03711805555555556</v>
      </c>
      <c r="CG4" s="432">
        <f>Varz20VK*Varz20TKV3</f>
        <v>770.0000000000001</v>
      </c>
      <c r="CH4" s="429"/>
      <c r="CI4" s="430" t="s">
        <v>158</v>
      </c>
      <c r="CJ4" s="431">
        <f>Varz21NLV3</f>
        <v>0.009027777777777779</v>
      </c>
      <c r="CK4" s="432">
        <f>Varz21VK*Varz21TKV3</f>
        <v>700</v>
      </c>
      <c r="CL4" s="429"/>
      <c r="CM4" s="430" t="s">
        <v>158</v>
      </c>
      <c r="CN4" s="431">
        <f>Varz22NLV3</f>
        <v>0.04168981481481482</v>
      </c>
      <c r="CO4" s="432">
        <f>Varz22VK*Varz22TKV3</f>
        <v>700</v>
      </c>
      <c r="CP4" s="429"/>
      <c r="CQ4" s="430" t="s">
        <v>158</v>
      </c>
      <c r="CR4" s="431">
        <f>Varz23NLV3</f>
        <v>0.03568287037037037</v>
      </c>
      <c r="CS4" s="432">
        <f>Varz23VK*Varz23TKV3</f>
        <v>700</v>
      </c>
      <c r="CT4" s="429"/>
      <c r="CU4" s="430" t="s">
        <v>158</v>
      </c>
      <c r="CV4" s="431">
        <f>Varz24NLV3</f>
        <v>0.010243055555555556</v>
      </c>
      <c r="CW4" s="432">
        <f>Varz24VK*Varz24TKV3</f>
        <v>700</v>
      </c>
      <c r="CX4" s="429"/>
      <c r="CY4" s="430" t="s">
        <v>158</v>
      </c>
      <c r="CZ4" s="431">
        <f>Varz25NLV3</f>
        <v>0.027175925925925926</v>
      </c>
      <c r="DA4" s="432">
        <f>Varz25VK*Varz25TKV3</f>
        <v>700</v>
      </c>
      <c r="DB4" s="429"/>
      <c r="DC4" s="430" t="s">
        <v>158</v>
      </c>
      <c r="DD4" s="431">
        <f>Varz26NLV3</f>
        <v>0.03640046296296296</v>
      </c>
      <c r="DE4" s="432">
        <f>Varz26VK*Varz26TKV3</f>
        <v>700</v>
      </c>
    </row>
    <row r="5" spans="1:109" s="387" customFormat="1" ht="15" customHeight="1">
      <c r="A5" s="369"/>
      <c r="B5" s="412"/>
      <c r="C5" s="413"/>
      <c r="D5" s="413"/>
      <c r="E5" s="413"/>
      <c r="F5" s="413"/>
      <c r="G5" s="414"/>
      <c r="H5" s="414"/>
      <c r="I5" s="414"/>
      <c r="J5" s="415"/>
      <c r="K5" s="416"/>
      <c r="L5" s="417"/>
      <c r="M5" s="418"/>
      <c r="N5" s="419"/>
      <c r="O5" s="420"/>
      <c r="P5" s="421"/>
      <c r="Q5" s="422"/>
      <c r="R5" s="419"/>
      <c r="S5" s="420" t="s">
        <v>172</v>
      </c>
      <c r="T5" s="421">
        <f>Varz3NLV4</f>
        <v>0</v>
      </c>
      <c r="U5" s="422">
        <f>Varz3VK*Varz3TKV4</f>
        <v>540</v>
      </c>
      <c r="V5" s="419"/>
      <c r="W5" s="420" t="s">
        <v>172</v>
      </c>
      <c r="X5" s="421">
        <f>Varz4NLV4</f>
        <v>0.033125</v>
      </c>
      <c r="Y5" s="422">
        <f>Varz4VK*Varz4TKV4</f>
        <v>540</v>
      </c>
      <c r="Z5" s="419"/>
      <c r="AA5" s="420" t="s">
        <v>172</v>
      </c>
      <c r="AB5" s="421">
        <f>Varz5NLV4</f>
        <v>0.01087962962962963</v>
      </c>
      <c r="AC5" s="422">
        <f>Varz5VK*Varz5TKV4</f>
        <v>735</v>
      </c>
      <c r="AD5" s="419"/>
      <c r="AE5" s="424" t="s">
        <v>172</v>
      </c>
      <c r="AF5" s="421">
        <f>Varz6NLV4</f>
        <v>0.04784722222222223</v>
      </c>
      <c r="AG5" s="422">
        <f>Varz6VK*Varz6TKV4</f>
        <v>735</v>
      </c>
      <c r="AH5" s="419"/>
      <c r="AI5" s="424" t="s">
        <v>172</v>
      </c>
      <c r="AJ5" s="421">
        <f>Varz7NLV4</f>
        <v>0.031064814814814812</v>
      </c>
      <c r="AK5" s="422">
        <f>Varz7VK*Varz7TKV4</f>
        <v>735</v>
      </c>
      <c r="AL5" s="425"/>
      <c r="AM5" s="426" t="s">
        <v>172</v>
      </c>
      <c r="AN5" s="427">
        <f>Varz8NLV4</f>
        <v>0.0712037037037037</v>
      </c>
      <c r="AO5" s="438">
        <f>Varz8VK*Varz8TKV4</f>
        <v>770.0000000000001</v>
      </c>
      <c r="AP5" s="429"/>
      <c r="AQ5" s="430" t="s">
        <v>172</v>
      </c>
      <c r="AR5" s="431">
        <f>Varz9NLV4</f>
        <v>0.02677083333333333</v>
      </c>
      <c r="AS5" s="432">
        <f>Varz9VK*Varz9TKV4</f>
        <v>660</v>
      </c>
      <c r="AT5" s="429"/>
      <c r="AU5" s="430" t="s">
        <v>172</v>
      </c>
      <c r="AV5" s="431">
        <f>Varz10NLV4</f>
        <v>0.018460648148148146</v>
      </c>
      <c r="AW5" s="432">
        <f>Varz10VK*Varz10TKV4</f>
        <v>630</v>
      </c>
      <c r="AX5" s="429"/>
      <c r="AY5" s="430" t="s">
        <v>172</v>
      </c>
      <c r="AZ5" s="431">
        <f>Varz11NLV4</f>
        <v>0.027650462962962963</v>
      </c>
      <c r="BA5" s="432">
        <f>Varz12VK*Varz12TKV4</f>
        <v>630</v>
      </c>
      <c r="BB5" s="429"/>
      <c r="BC5" s="430" t="s">
        <v>172</v>
      </c>
      <c r="BD5" s="431">
        <f>Varz12NLV4</f>
        <v>0.02460648148148148</v>
      </c>
      <c r="BE5" s="432">
        <f>Varz12VK*Varz12TKV4</f>
        <v>630</v>
      </c>
      <c r="BF5" s="433"/>
      <c r="BG5" s="434"/>
      <c r="BH5" s="435"/>
      <c r="BI5" s="437"/>
      <c r="BJ5" s="433"/>
      <c r="BK5" s="434"/>
      <c r="BL5" s="435"/>
      <c r="BM5" s="437"/>
      <c r="BN5" s="433"/>
      <c r="BO5" s="434"/>
      <c r="BP5" s="435"/>
      <c r="BQ5" s="437"/>
      <c r="BR5" s="433"/>
      <c r="BS5" s="434"/>
      <c r="BT5" s="435"/>
      <c r="BU5" s="437"/>
      <c r="BV5" s="433"/>
      <c r="BW5" s="434" t="s">
        <v>172</v>
      </c>
      <c r="BX5" s="435">
        <f>Varz17NLV4</f>
        <v>0.030763888888888886</v>
      </c>
      <c r="BY5" s="437">
        <f>Varz17VK*Varz17TKV4</f>
        <v>630</v>
      </c>
      <c r="BZ5" s="433"/>
      <c r="CA5" s="434" t="s">
        <v>172</v>
      </c>
      <c r="CB5" s="435">
        <f>Varz18NLV4</f>
        <v>0.045613425925925925</v>
      </c>
      <c r="CC5" s="437">
        <f>Varz18VK*Varz18TKV4</f>
        <v>630</v>
      </c>
      <c r="CD5" s="429"/>
      <c r="CE5" s="430" t="s">
        <v>172</v>
      </c>
      <c r="CF5" s="431">
        <f>Varz20NLV4</f>
        <v>0.028125</v>
      </c>
      <c r="CG5" s="432">
        <f>Varz20VK*Varz20TKV4</f>
        <v>660</v>
      </c>
      <c r="CH5" s="429"/>
      <c r="CI5" s="430"/>
      <c r="CJ5" s="431"/>
      <c r="CK5" s="432"/>
      <c r="CL5" s="429"/>
      <c r="CM5" s="430" t="s">
        <v>172</v>
      </c>
      <c r="CN5" s="431" t="str">
        <f>Varz22NLV4</f>
        <v>mp</v>
      </c>
      <c r="CO5" s="432">
        <f>Varz22VK*Varz22TKV4</f>
        <v>540</v>
      </c>
      <c r="CP5" s="429"/>
      <c r="CQ5" s="430"/>
      <c r="CR5" s="431"/>
      <c r="CS5" s="432"/>
      <c r="CT5" s="429"/>
      <c r="CU5" s="430"/>
      <c r="CV5" s="431"/>
      <c r="CW5" s="432"/>
      <c r="CX5" s="429"/>
      <c r="CY5" s="430"/>
      <c r="CZ5" s="431"/>
      <c r="DA5" s="432"/>
      <c r="DB5" s="429"/>
      <c r="DC5" s="430"/>
      <c r="DD5" s="431"/>
      <c r="DE5" s="432"/>
    </row>
    <row r="6" spans="1:109" s="387" customFormat="1" ht="15" customHeight="1">
      <c r="A6" s="369"/>
      <c r="B6" s="412"/>
      <c r="C6" s="413"/>
      <c r="D6" s="413"/>
      <c r="E6" s="413"/>
      <c r="F6" s="413"/>
      <c r="G6" s="414"/>
      <c r="H6" s="414"/>
      <c r="I6" s="414"/>
      <c r="J6" s="415"/>
      <c r="K6" s="416"/>
      <c r="L6" s="417"/>
      <c r="M6" s="418"/>
      <c r="N6" s="419"/>
      <c r="O6" s="420"/>
      <c r="P6" s="421"/>
      <c r="Q6" s="422"/>
      <c r="R6" s="419"/>
      <c r="S6" s="420"/>
      <c r="T6" s="421"/>
      <c r="U6" s="422"/>
      <c r="V6" s="419"/>
      <c r="W6" s="420"/>
      <c r="X6" s="421"/>
      <c r="Y6" s="422"/>
      <c r="Z6" s="419"/>
      <c r="AA6" s="420" t="s">
        <v>173</v>
      </c>
      <c r="AB6" s="421">
        <f>VARZ5NLV5</f>
        <v>0.009976851851851853</v>
      </c>
      <c r="AC6" s="422">
        <f>Varz5VK*Varz5TKV5</f>
        <v>630</v>
      </c>
      <c r="AD6" s="419"/>
      <c r="AE6" s="424" t="s">
        <v>173</v>
      </c>
      <c r="AF6" s="421">
        <f>Varz6NLV5</f>
        <v>0.05672453703703704</v>
      </c>
      <c r="AG6" s="422">
        <f>Varz6VK*Varz6TKV5</f>
        <v>567</v>
      </c>
      <c r="AH6" s="419"/>
      <c r="AI6" s="424" t="s">
        <v>173</v>
      </c>
      <c r="AJ6" s="421">
        <f>Varz7NLV5</f>
        <v>0.03008101851851852</v>
      </c>
      <c r="AK6" s="422">
        <f>Varz7VK*Varz7TKV5</f>
        <v>567</v>
      </c>
      <c r="AL6" s="425"/>
      <c r="AM6" s="426" t="s">
        <v>173</v>
      </c>
      <c r="AN6" s="427">
        <f>Varz8NLV5</f>
        <v>0.06461805555555555</v>
      </c>
      <c r="AO6" s="438">
        <f>Varz8VK*Varz8TKV5</f>
        <v>660</v>
      </c>
      <c r="AP6" s="429"/>
      <c r="AQ6" s="430" t="s">
        <v>173</v>
      </c>
      <c r="AR6" s="431">
        <f>Varz9NLV5</f>
        <v>0.01726851851851852</v>
      </c>
      <c r="AS6" s="432">
        <f>Varz9VK*varz9TKV5</f>
        <v>550</v>
      </c>
      <c r="AT6" s="429"/>
      <c r="AU6" s="430" t="s">
        <v>173</v>
      </c>
      <c r="AV6" s="431">
        <f>Varz10NLV5</f>
        <v>0.007303240740740741</v>
      </c>
      <c r="AW6" s="432">
        <f>Varz10VK*Varz10TKV5</f>
        <v>525</v>
      </c>
      <c r="AX6" s="429"/>
      <c r="AY6" s="430" t="s">
        <v>173</v>
      </c>
      <c r="AZ6" s="431">
        <f>Varz11NLV5</f>
        <v>0.012511574074074073</v>
      </c>
      <c r="BA6" s="432">
        <f>Varz12VK*Varz12TKV5</f>
        <v>525</v>
      </c>
      <c r="BB6" s="429"/>
      <c r="BC6" s="430" t="s">
        <v>173</v>
      </c>
      <c r="BD6" s="431">
        <f>Varz12NLV5</f>
        <v>0.010034722222222221</v>
      </c>
      <c r="BE6" s="432">
        <f>Varz12VK*Varz12TKV5</f>
        <v>525</v>
      </c>
      <c r="BF6" s="433"/>
      <c r="BG6" s="434"/>
      <c r="BH6" s="435"/>
      <c r="BI6" s="437"/>
      <c r="BJ6" s="433"/>
      <c r="BK6" s="434"/>
      <c r="BL6" s="435"/>
      <c r="BM6" s="437"/>
      <c r="BN6" s="433"/>
      <c r="BO6" s="434"/>
      <c r="BP6" s="435"/>
      <c r="BQ6" s="437"/>
      <c r="BR6" s="433"/>
      <c r="BS6" s="434"/>
      <c r="BT6" s="435"/>
      <c r="BU6" s="437"/>
      <c r="BV6" s="433"/>
      <c r="BW6" s="434" t="s">
        <v>173</v>
      </c>
      <c r="BX6" s="435">
        <f>Varz17NLV5</f>
        <v>0</v>
      </c>
      <c r="BY6" s="437">
        <f>Varz17VK*Varz17TKV5</f>
        <v>525</v>
      </c>
      <c r="BZ6" s="433"/>
      <c r="CA6" s="434" t="s">
        <v>173</v>
      </c>
      <c r="CB6" s="435">
        <f>Varz18NLV5</f>
        <v>0</v>
      </c>
      <c r="CC6" s="437">
        <f>Varz18VK*Varz18TKV5</f>
        <v>525</v>
      </c>
      <c r="CD6" s="429"/>
      <c r="CE6" s="430"/>
      <c r="CF6" s="431"/>
      <c r="CG6" s="432"/>
      <c r="CH6" s="429"/>
      <c r="CI6" s="430"/>
      <c r="CJ6" s="431"/>
      <c r="CK6" s="432"/>
      <c r="CL6" s="429"/>
      <c r="CM6" s="430"/>
      <c r="CN6" s="431"/>
      <c r="CO6" s="432"/>
      <c r="CP6" s="429"/>
      <c r="CQ6" s="430"/>
      <c r="CR6" s="431"/>
      <c r="CS6" s="432"/>
      <c r="CT6" s="429"/>
      <c r="CU6" s="430"/>
      <c r="CV6" s="431"/>
      <c r="CW6" s="432"/>
      <c r="CX6" s="429"/>
      <c r="CY6" s="430"/>
      <c r="CZ6" s="431"/>
      <c r="DA6" s="432"/>
      <c r="DB6" s="429"/>
      <c r="DC6" s="430"/>
      <c r="DD6" s="431"/>
      <c r="DE6" s="432"/>
    </row>
    <row r="7" spans="1:109" s="387" customFormat="1" ht="15" customHeight="1">
      <c r="A7" s="369"/>
      <c r="B7" s="439"/>
      <c r="C7" s="440"/>
      <c r="D7" s="440"/>
      <c r="E7" s="440"/>
      <c r="F7" s="440"/>
      <c r="G7" s="441"/>
      <c r="H7" s="441"/>
      <c r="I7" s="441"/>
      <c r="J7" s="442"/>
      <c r="K7" s="443"/>
      <c r="L7" s="444"/>
      <c r="M7" s="445"/>
      <c r="N7" s="446"/>
      <c r="O7" s="447"/>
      <c r="P7" s="448"/>
      <c r="Q7" s="449"/>
      <c r="R7" s="446"/>
      <c r="S7" s="447"/>
      <c r="T7" s="448"/>
      <c r="U7" s="449"/>
      <c r="V7" s="446"/>
      <c r="W7" s="447"/>
      <c r="X7" s="448"/>
      <c r="Y7" s="449"/>
      <c r="Z7" s="446"/>
      <c r="AD7" s="446"/>
      <c r="AH7" s="446"/>
      <c r="AL7" s="450"/>
      <c r="AM7" s="426" t="s">
        <v>627</v>
      </c>
      <c r="AN7" s="427">
        <f>Varz8NLV6</f>
        <v>0.050034722222222223</v>
      </c>
      <c r="AO7" s="438">
        <f>Varz8VK*Varz8TKV6</f>
        <v>550</v>
      </c>
      <c r="AP7" s="451"/>
      <c r="AQ7" s="430"/>
      <c r="AR7" s="431"/>
      <c r="AS7" s="432"/>
      <c r="AT7" s="451"/>
      <c r="AU7" s="452"/>
      <c r="AV7" s="453"/>
      <c r="AW7" s="454"/>
      <c r="AX7" s="451"/>
      <c r="AY7" s="452"/>
      <c r="AZ7" s="453"/>
      <c r="BA7" s="454"/>
      <c r="BB7" s="451"/>
      <c r="BC7" s="452"/>
      <c r="BD7" s="453"/>
      <c r="BE7" s="454"/>
      <c r="BF7" s="455"/>
      <c r="BG7" s="434"/>
      <c r="BH7" s="435"/>
      <c r="BI7" s="437"/>
      <c r="BJ7" s="455"/>
      <c r="BK7" s="434"/>
      <c r="BL7" s="435"/>
      <c r="BM7" s="437"/>
      <c r="BN7" s="455"/>
      <c r="BO7" s="456"/>
      <c r="BP7" s="457"/>
      <c r="BQ7" s="458"/>
      <c r="BR7" s="455"/>
      <c r="BS7" s="456"/>
      <c r="BT7" s="457"/>
      <c r="BU7" s="458"/>
      <c r="BV7" s="455"/>
      <c r="BY7" s="459"/>
      <c r="BZ7" s="455"/>
      <c r="CC7" s="437"/>
      <c r="CD7" s="451"/>
      <c r="CE7" s="460"/>
      <c r="CF7" s="460"/>
      <c r="CG7" s="432"/>
      <c r="CH7" s="451"/>
      <c r="CI7" s="430"/>
      <c r="CJ7" s="431"/>
      <c r="CK7" s="432"/>
      <c r="CL7" s="451"/>
      <c r="CM7" s="430"/>
      <c r="CN7" s="431"/>
      <c r="CO7" s="432"/>
      <c r="CP7" s="451"/>
      <c r="CQ7" s="430"/>
      <c r="CR7" s="431"/>
      <c r="CS7" s="432"/>
      <c r="CT7" s="451"/>
      <c r="CU7" s="430"/>
      <c r="CV7" s="431"/>
      <c r="CW7" s="432"/>
      <c r="CX7" s="451"/>
      <c r="CY7" s="430"/>
      <c r="CZ7" s="431"/>
      <c r="DA7" s="432"/>
      <c r="DB7" s="451"/>
      <c r="DC7" s="430"/>
      <c r="DD7" s="431"/>
      <c r="DE7" s="432"/>
    </row>
    <row r="8" spans="2:109" ht="15" customHeight="1" hidden="1">
      <c r="B8" s="462"/>
      <c r="C8" s="463"/>
      <c r="D8" s="463"/>
      <c r="E8" s="464"/>
      <c r="F8" s="547"/>
      <c r="G8" s="465"/>
      <c r="H8" s="465"/>
      <c r="I8" s="465"/>
      <c r="J8" s="466"/>
      <c r="K8" s="467"/>
      <c r="L8" s="468"/>
      <c r="M8" s="469">
        <f>IF((2-L8/Varz1NLV1)*Varz1TKV1*Varz1VK&gt;0,(2-L8/Varz1NLV1)*Varz1TKV1*Varz1VK,10)</f>
        <v>2000</v>
      </c>
      <c r="N8" s="470"/>
      <c r="O8" s="471"/>
      <c r="P8" s="472"/>
      <c r="Q8" s="469">
        <f>IF((2-P8/Varz2NLV1)*Varz2TKV1*Varz2VK&gt;0,(2-P8/Varz2NLV1)*Varz2TKV1*Varz2VK,10)</f>
        <v>2000</v>
      </c>
      <c r="R8" s="470"/>
      <c r="S8" s="471"/>
      <c r="T8" s="472"/>
      <c r="U8" s="469">
        <f>IF((2-T8/Varz3NLV1)*Varz3TKV1*Varz3VK&gt;0,(2-T8/Varz3NLV1)*Varz3TKV1*Varz3VK,10)</f>
        <v>2000</v>
      </c>
      <c r="V8" s="470"/>
      <c r="W8" s="471"/>
      <c r="X8" s="472"/>
      <c r="Y8" s="469">
        <f>IF((2-X8/Varz4NLV1)*Varz4TKV1*Varz4VK&gt;0,(2-X8/Varz4NLV1)*Varz4TKV1*Varz4VK,10)</f>
        <v>2000</v>
      </c>
      <c r="Z8" s="470"/>
      <c r="AA8" s="471"/>
      <c r="AB8" s="472"/>
      <c r="AC8" s="469">
        <f>IF((2-AB8/Varz5NLV1)*Varz5TKV1*Varz5VK&gt;0,(2-AB8/Varz5NLV1)*Varz5TKV1*Varz5VK,10)</f>
        <v>2100</v>
      </c>
      <c r="AD8" s="470"/>
      <c r="AE8" s="424"/>
      <c r="AF8" s="472"/>
      <c r="AG8" s="469">
        <f>IF((2-AF8/Varz6NLV1)*Varz6TKV1*Varz6VK&gt;0,(2-AF8/Varz6NLV1)*Varz6TKV1*Varz6VK,10)</f>
        <v>2100</v>
      </c>
      <c r="AH8" s="470"/>
      <c r="AI8" s="424"/>
      <c r="AJ8" s="421"/>
      <c r="AK8" s="469">
        <f>IF((2-AJ8/Varz7NLV1)*Varz7TKV1*Varz7VK&gt;0,(2-AJ8/Varz7NLV1)*Varz7TKV1*Varz7VK,10)</f>
        <v>2100</v>
      </c>
      <c r="AL8" s="470"/>
      <c r="AM8" s="424"/>
      <c r="AN8" s="473"/>
      <c r="AO8" s="469">
        <f>IF((2-AN8/Varz8NLV1)*Varz8TKV1*Varz8VK&gt;0,(2-AN8/Varz8NLV1)*Varz8TKV1*Varz8VK,10)</f>
        <v>2200</v>
      </c>
      <c r="AP8" s="474"/>
      <c r="AQ8" s="475"/>
      <c r="AR8" s="476"/>
      <c r="AS8" s="469">
        <f>IF((2-AR8/Varz9NLV1)*Varz9TKV1*Varz9VK&gt;0,(2-AR8/Varz9NLV1)*Varz9TKV1*Varz9VK,10)</f>
        <v>2200</v>
      </c>
      <c r="AT8" s="474"/>
      <c r="AU8" s="475"/>
      <c r="AV8" s="476"/>
      <c r="AW8" s="469">
        <f>IF(AV8="dsq",0,IF((2-AV8/Varz10NLV1)*Varz10TKV1*Varz10VK&gt;0,(2-AV8/Varz10NLV1)*Varz10TKV1*Varz10VK,10))</f>
        <v>2100</v>
      </c>
      <c r="AX8" s="474"/>
      <c r="AY8" s="475"/>
      <c r="AZ8" s="476"/>
      <c r="BA8" s="469">
        <f>IF(AZ8="dsq",0,IF((2-AZ8/Varz11NLV1)*Varz11TKV1*Varz11VK&gt;0,(2-AZ8/Varz11NLV1)*Varz11TKV1*Varz11VK,10))</f>
        <v>2100</v>
      </c>
      <c r="BB8" s="474"/>
      <c r="BC8" s="475"/>
      <c r="BD8" s="476"/>
      <c r="BE8" s="469">
        <f>IF(BD8="dsq",0,IF((2-BD8/Varz12NLV1)*Varz12TKV1*Varz12VK&gt;0,(2-BD8/Varz12NLV1)*Varz12TKV1*Varz12VK,10))</f>
        <v>2100</v>
      </c>
      <c r="BF8" s="474"/>
      <c r="BG8" s="475"/>
      <c r="BH8" s="476"/>
      <c r="BI8" s="469">
        <f>IF(BH8="dsq",0,IF((2-BH8/Varz13NLV1)*Varz13TKV1*Varz13VK&gt;0,(2-BH8/Varz13NLV1)*Varz13TKV1*Varz13VK,10))</f>
        <v>2000</v>
      </c>
      <c r="BJ8" s="474"/>
      <c r="BK8" s="475"/>
      <c r="BL8" s="476"/>
      <c r="BM8" s="469">
        <f>IF(BL8="dsq",0,IF((2-BL8/Varz14NLV1)*Varz14TKV1*Varz14VK&gt;0,(2-BL8/Varz14NLV1)*Varz14TKV1*Varz14VK,10))</f>
        <v>2000</v>
      </c>
      <c r="BN8" s="474"/>
      <c r="BO8" s="475"/>
      <c r="BP8" s="477"/>
      <c r="BQ8" s="469">
        <f>IF(BP8="dsq",0,IF((2-BP8/Varz15NLV1)*Varz15TKV1*Varz15VK&gt;0,(2-BP8/Varz15NLV1)*Varz15TKV1*Varz15VK,10))</f>
        <v>2000</v>
      </c>
      <c r="BR8" s="474"/>
      <c r="BS8" s="475"/>
      <c r="BT8" s="477"/>
      <c r="BU8" s="469">
        <f>IF(BT8="dsq",0,IF((2-BT8/Varz16NLV1)*Varz16TKV1*Varz16VK&gt;0,(2-BT8/Varz16NLV1)*Varz16TKV1*Varz16VK,10))</f>
        <v>2000</v>
      </c>
      <c r="BV8" s="474"/>
      <c r="BW8" s="475"/>
      <c r="BX8" s="477"/>
      <c r="BY8" s="469">
        <f>IF(BX8="dsq",0,IF((2-BX8/Varz17NLV1)*Varz17TKV1*Varz17VK&gt;0,(2-BX8/Varz17NLV1)*Varz17TKV1*Varz17VK,10))</f>
        <v>2100</v>
      </c>
      <c r="BZ8" s="474"/>
      <c r="CA8" s="475"/>
      <c r="CB8" s="477"/>
      <c r="CC8" s="469">
        <f>IF(CB8="dsq",0,IF((2-CB8/Varz18NLV1)*Varz18TKV1*Varz18VK&gt;0,(2-CB8/Varz18NLV1)*Varz18TKV1*Varz18VK,10))</f>
        <v>2100</v>
      </c>
      <c r="CD8" s="478"/>
      <c r="CE8" s="479" t="s">
        <v>1</v>
      </c>
      <c r="CF8" s="480"/>
      <c r="CG8" s="481">
        <f>IF(CF8="dsq",0,IF((2-CF8/Varz20NLV1)*Varz20TKV1*Varz20VK&gt;0,(2-CF8/Varz20NLV1)*Varz20TKV1*Varz20VK,10))</f>
        <v>2200</v>
      </c>
      <c r="CH8" s="478"/>
      <c r="CI8" s="479" t="s">
        <v>1</v>
      </c>
      <c r="CJ8" s="482"/>
      <c r="CK8" s="481">
        <f>IF(CJ8="dsq",0,IF((2-CJ8/Varz21NLV1)*Varz21TKV1*Varz21VK&gt;0,(2-CJ8/Varz21NLV1)*Varz21TKV1*Varz21VK,10))</f>
        <v>2000</v>
      </c>
      <c r="CL8" s="483"/>
      <c r="CM8" s="484" t="s">
        <v>1</v>
      </c>
      <c r="CN8" s="482"/>
      <c r="CO8" s="481">
        <f>IF(CN8="dsq",0,IF((2-CN8/Varz22NLV1)*Varz22TKV1*Varz22VK&gt;0,(2-CN8/Varz22NLV1)*Varz22TKV1*Varz22VK,10))</f>
        <v>2000</v>
      </c>
      <c r="CP8" s="483"/>
      <c r="CQ8" s="484" t="s">
        <v>1</v>
      </c>
      <c r="CR8" s="482"/>
      <c r="CS8" s="481">
        <f>IF(CR8="dsq",0,IF((2-CR8/Varz23NLV1)*Varz23TKV1*Varz23VK&gt;0,(2-CR8/Varz23NLV1)*Varz23TKV1*Varz23VK,10))</f>
        <v>2000</v>
      </c>
      <c r="CT8" s="483"/>
      <c r="CU8" s="484" t="s">
        <v>1</v>
      </c>
      <c r="CV8" s="482"/>
      <c r="CW8" s="481">
        <f>IF(CV8="dsq",0,IF((2-CV8/Varz24NLV1)*Varz24TKV1*Varz24VK&gt;0,(2-CV8/Varz24NLV1)*Varz24TKV1*Varz24VK,10))</f>
        <v>2000</v>
      </c>
      <c r="CX8" s="483"/>
      <c r="CY8" s="484" t="s">
        <v>1</v>
      </c>
      <c r="CZ8" s="482"/>
      <c r="DA8" s="481">
        <f>IF(CZ8="dsq",0,IF((2-CZ8/Varz25NLV1)*Varz25TKV1*Varz25VK&gt;0,(2-CZ8/Varz25NLV1)*Varz25TKV1*Varz25VK,10))</f>
        <v>2000</v>
      </c>
      <c r="DB8" s="483"/>
      <c r="DC8" s="484" t="s">
        <v>1</v>
      </c>
      <c r="DD8" s="482"/>
      <c r="DE8" s="481">
        <f>IF(DD8="dsq",0,IF((2-DD8/Varz26NLV1)*Varz26TKV1*Varz26VK&gt;0,(2-DD8/Varz26NLV1)*Varz26TKV1*Varz26VK,10))</f>
        <v>2000</v>
      </c>
    </row>
    <row r="9" spans="2:109" ht="15" customHeight="1" hidden="1">
      <c r="B9" s="462"/>
      <c r="C9" s="463"/>
      <c r="D9" s="463"/>
      <c r="E9" s="464"/>
      <c r="F9" s="547"/>
      <c r="G9" s="465"/>
      <c r="H9" s="465"/>
      <c r="I9" s="465"/>
      <c r="J9" s="466"/>
      <c r="K9" s="467"/>
      <c r="L9" s="468"/>
      <c r="M9" s="469">
        <f>IF((2-L9/Varz1NLV2)*Varz1TKV2*Varz1VK&gt;0,(2-L9/Varz1NLV2)*Varz1TKV2*Varz1VK,10)</f>
        <v>1600</v>
      </c>
      <c r="N9" s="470"/>
      <c r="O9" s="471"/>
      <c r="P9" s="472"/>
      <c r="Q9" s="469">
        <f>IF((2-P9/Varz2NLV2)*Varz2TKV2*Varz2VK&gt;0,(2-P9/Varz2NLV2)*Varz2TKV2*Varz2VK,10)</f>
        <v>1600</v>
      </c>
      <c r="R9" s="470"/>
      <c r="S9" s="471"/>
      <c r="T9" s="472"/>
      <c r="U9" s="469">
        <f>IF((2-T9/Varz3NLV2)*Varz3TKV2*Varz3VK&gt;0,(2-T9/Varz3NLV2)*Varz3TKV2*Varz3VK,10)</f>
        <v>1600</v>
      </c>
      <c r="V9" s="470"/>
      <c r="W9" s="471"/>
      <c r="X9" s="472"/>
      <c r="Y9" s="469">
        <f>IF((2-X9/Varz4NLV2)*Varz4TKV2*Varz4VK&gt;0,(2-X9/Varz4NLV2)*Varz4TKV2*Varz4VK,10)</f>
        <v>1600</v>
      </c>
      <c r="Z9" s="470"/>
      <c r="AA9" s="471"/>
      <c r="AB9" s="472"/>
      <c r="AC9" s="469">
        <f>IF((2-AB9/Varz5NLV2)*Varz5TKV2*Varz5VK&gt;0,(2-AB9/Varz5NLV2)*Varz5TKV2*Varz5VK,10)</f>
        <v>1785</v>
      </c>
      <c r="AD9" s="470"/>
      <c r="AE9" s="424"/>
      <c r="AF9" s="472"/>
      <c r="AG9" s="469">
        <f>IF((2-AF9/Varz6NLV2)*Varz6TKV2*Varz6VK&gt;0,(2-AF9/Varz6NLV2)*Varz6TKV2*Varz6VK,10)</f>
        <v>1785</v>
      </c>
      <c r="AH9" s="470"/>
      <c r="AI9" s="424"/>
      <c r="AJ9" s="421"/>
      <c r="AK9" s="469">
        <f>IF((2-AJ9/Varz7NLV2)*Varz7TKV2*Varz7VK&gt;0,(2-AJ9/Varz7NLV2)*Varz7TKV2*Varz7VK,10)</f>
        <v>1785</v>
      </c>
      <c r="AL9" s="470"/>
      <c r="AM9" s="424"/>
      <c r="AN9" s="473"/>
      <c r="AO9" s="469">
        <f>IF((2-AN9/Varz8NLV2)*Varz8TKV2*Varz8VK&gt;0,(2-AN9/Varz8NLV2)*Varz8TKV2*Varz8VK,10)</f>
        <v>1683.0000000000002</v>
      </c>
      <c r="AP9" s="474"/>
      <c r="AQ9" s="475"/>
      <c r="AR9" s="476"/>
      <c r="AS9" s="469">
        <f>IF((2-AR9/Varz9NLV2)*Varz9TKV2*Varz9VK&gt;0,(2-AR9/Varz9NLV2)*Varz9TKV2*Varz9VK,10)</f>
        <v>1760.0000000000002</v>
      </c>
      <c r="AT9" s="474"/>
      <c r="AU9" s="475"/>
      <c r="AV9" s="476"/>
      <c r="AW9" s="469">
        <f>IF(AV9="dsq",0,IF((2-AV9/Varz10NLV2)*Varz10TKV2*Varz10VK&gt;0,(2-AV9/Varz10NLV2)*Varz10TKV2*Varz10VK,10))</f>
        <v>1680</v>
      </c>
      <c r="AX9" s="474"/>
      <c r="AY9" s="475"/>
      <c r="AZ9" s="476"/>
      <c r="BA9" s="469">
        <f>IF(AZ9="dsq",0,IF((2-AZ9/Varz11NLV2)*Varz11TKV2*Varz11VK&gt;0,(2-AZ9/Varz11NLV2)*Varz11TKV2*Varz11VK,10))</f>
        <v>1680</v>
      </c>
      <c r="BB9" s="474"/>
      <c r="BC9" s="475"/>
      <c r="BD9" s="476"/>
      <c r="BE9" s="469">
        <f>IF(BD9="dsq",0,IF((2-BD9/Varz12NLV2)*Varz12TKV2*Varz12VK&gt;0,(2-BD9/Varz12NLV2)*Varz12TKV2*Varz12VK,10))</f>
        <v>1680</v>
      </c>
      <c r="BF9" s="474"/>
      <c r="BG9" s="475"/>
      <c r="BH9" s="476"/>
      <c r="BI9" s="469">
        <f>IF(BH9="dsq",0,IF((2-BH9/Varz13NLV2)*Varz13TKV2*Varz13VK&gt;0,(2-BH9/Varz13NLV2)*Varz13TKV2*Varz13VK,10))</f>
        <v>1600</v>
      </c>
      <c r="BJ9" s="474"/>
      <c r="BK9" s="475"/>
      <c r="BL9" s="476"/>
      <c r="BM9" s="469">
        <f>IF(BL9="dsq",0,IF((2-BL9/Varz14NLV2)*Varz14TKV2*Varz14VK&gt;0,(2-BL9/Varz14NLV2)*Varz14TKV2*Varz14VK,10))</f>
        <v>1600</v>
      </c>
      <c r="BN9" s="474"/>
      <c r="BO9" s="475"/>
      <c r="BP9" s="477"/>
      <c r="BQ9" s="469">
        <f>IF(BP9="dsq",0,IF((2-BP9/Varz15NLV2)*Varz15TKV2*Varz15VK&gt;0,(2-BP9/Varz15NLV2)*Varz15TKV2*Varz15VK,10))</f>
        <v>1600</v>
      </c>
      <c r="BR9" s="474"/>
      <c r="BS9" s="475"/>
      <c r="BT9" s="477"/>
      <c r="BU9" s="469">
        <f>IF(BT9="dsq",0,IF((2-BT9/Varz16NLV2)*Varz16TKV2*Varz16VK&gt;0,(2-BT9/Varz16NLV2)*Varz16TKV2*Varz16VK,10))</f>
        <v>1600</v>
      </c>
      <c r="BV9" s="474"/>
      <c r="BW9" s="475"/>
      <c r="BX9" s="477"/>
      <c r="BY9" s="486" t="e">
        <f>IF(BX9="dsq",0,IF((2-BX9/Varz17NLV2)*Varz17TKV2*Varz17VK&gt;0,(2-BX9/Varz17NLV2)*Varz17TKV2*Varz17VK,10))</f>
        <v>#DIV/0!</v>
      </c>
      <c r="BZ9" s="474"/>
      <c r="CA9" s="475"/>
      <c r="CB9" s="477"/>
      <c r="CC9" s="486" t="e">
        <f>IF(CB9="dsq",0,IF((2-CB9/Varz18NLV2)*Varz18TKV2*Varz18VK&gt;0,(2-CB9/Varz18NLV2)*Varz18TKV2*Varz18VK,10))</f>
        <v>#DIV/0!</v>
      </c>
      <c r="CD9" s="478"/>
      <c r="CE9" s="487" t="s">
        <v>2</v>
      </c>
      <c r="CF9" s="480"/>
      <c r="CG9" s="481">
        <f>IF(CF9="dsq",0,IF((2-CF9/Varz20NLV2)*Varz20TKV2*Varz20VK&gt;0,(2-CF9/Varz20NLV2)*Varz20TKV2*Varz20VK,10))</f>
        <v>1760.0000000000002</v>
      </c>
      <c r="CH9" s="478"/>
      <c r="CI9" s="487" t="s">
        <v>2</v>
      </c>
      <c r="CJ9" s="482"/>
      <c r="CK9" s="481">
        <f>IF(CJ9="dsq",0,IF((2-CJ9/Varz21NLV2)*Varz21TKV2*Varz21VK&gt;0,(2-CJ9/Varz21NLV2)*Varz21TKV2*Varz21VK,10))</f>
        <v>1600</v>
      </c>
      <c r="CL9" s="483"/>
      <c r="CM9" s="488" t="s">
        <v>2</v>
      </c>
      <c r="CN9" s="482"/>
      <c r="CO9" s="481">
        <f>IF(CN9="dsq",0,IF((2-CN9/Varz22NLV2)*Varz22TKV2*Varz22VK&gt;0,(2-CN9/Varz22NLV2)*Varz22TKV2*Varz22VK,10))</f>
        <v>1600</v>
      </c>
      <c r="CP9" s="483"/>
      <c r="CQ9" s="488" t="s">
        <v>2</v>
      </c>
      <c r="CR9" s="482"/>
      <c r="CS9" s="481">
        <f>IF(CR9="dsq",0,IF((2-CR9/Varz23NLV2)*Varz23TKV2*Varz23VK&gt;0,(2-CR9/Varz23NLV2)*Varz23TKV2*Varz23VK,10))</f>
        <v>1600</v>
      </c>
      <c r="CT9" s="483"/>
      <c r="CU9" s="488" t="s">
        <v>2</v>
      </c>
      <c r="CV9" s="482"/>
      <c r="CW9" s="481">
        <f>IF(CV9="dsq",0,IF((2-CV9/Varz24NLV2)*Varz24TKV2*Varz24VK&gt;0,(2-CV9/Varz24NLV2)*Varz24TKV2*Varz24VK,10))</f>
        <v>1600</v>
      </c>
      <c r="CX9" s="483"/>
      <c r="CY9" s="488" t="s">
        <v>2</v>
      </c>
      <c r="CZ9" s="482"/>
      <c r="DA9" s="481">
        <f>IF(CZ9="dsq",0,IF((2-CZ9/Varz25NLV2)*Varz25TKV2*Varz25VK&gt;0,(2-CZ9/Varz25NLV2)*Varz25TKV2*Varz25VK,10))</f>
        <v>1600</v>
      </c>
      <c r="DB9" s="483"/>
      <c r="DC9" s="488" t="s">
        <v>2</v>
      </c>
      <c r="DD9" s="482"/>
      <c r="DE9" s="481">
        <f>IF(DD9="dsq",0,IF((2-DD9/Varz26NLV2)*Varz26TKV2*Varz26VK&gt;0,(2-DD9/Varz26NLV2)*Varz26TKV2*Varz26VK,10))</f>
        <v>1600</v>
      </c>
    </row>
    <row r="10" spans="2:109" ht="15" customHeight="1" hidden="1">
      <c r="B10" s="462"/>
      <c r="C10" s="463"/>
      <c r="D10" s="463"/>
      <c r="E10" s="464"/>
      <c r="F10" s="547"/>
      <c r="G10" s="465"/>
      <c r="H10" s="465"/>
      <c r="I10" s="465"/>
      <c r="J10" s="466"/>
      <c r="K10" s="467"/>
      <c r="L10" s="468"/>
      <c r="M10" s="469">
        <f>IF((2-L10/Varz1NLV3)*Varz1TKV3*Varz1VK&gt;0,(2-L10/Varz1NLV3)*Varz1TKV3*Varz1VK,10)</f>
        <v>1260</v>
      </c>
      <c r="N10" s="470"/>
      <c r="O10" s="471"/>
      <c r="P10" s="472"/>
      <c r="Q10" s="489"/>
      <c r="R10" s="470"/>
      <c r="S10" s="471"/>
      <c r="T10" s="472"/>
      <c r="U10" s="469" t="e">
        <f>IF((2-T10/Varz3NLV3)*Varz3TKV3*Varz3VK&gt;0,(2-T10/Varz3NLV3)*Varz3TKV3*Varz3VK,10)</f>
        <v>#DIV/0!</v>
      </c>
      <c r="V10" s="470"/>
      <c r="W10" s="471"/>
      <c r="X10" s="472"/>
      <c r="Y10" s="469">
        <f>IF((2-X10/Varz4NLV3)*Varz4TKV3*Varz4VK&gt;0,(2-X10/Varz4NLV3)*Varz4TKV3*Varz4VK,10)</f>
        <v>1400</v>
      </c>
      <c r="Z10" s="470"/>
      <c r="AA10" s="471"/>
      <c r="AB10" s="472"/>
      <c r="AC10" s="469">
        <f>IF((2-AB10/Varz5NLV3)*Varz5TKV3*Varz5VK&gt;0,(2-AB10/Varz5NLV3)*Varz5TKV3*Varz5VK,10)</f>
        <v>1680</v>
      </c>
      <c r="AD10" s="470"/>
      <c r="AE10" s="424"/>
      <c r="AF10" s="472"/>
      <c r="AG10" s="469">
        <f>IF((2-AF10/Varz6NLV3)*Varz6TKV3*Varz6VK&gt;0,(2-AF10/Varz6NLV3)*Varz6TKV3*Varz6VK,10)</f>
        <v>1680</v>
      </c>
      <c r="AH10" s="470"/>
      <c r="AI10" s="424"/>
      <c r="AJ10" s="421"/>
      <c r="AK10" s="469">
        <f>IF((2-AJ10/Varz7NLV3)*Varz7TKV3*Varz7VK&gt;0,(2-AJ10/Varz7NLV3)*Varz7TKV3*Varz7VK,10)</f>
        <v>1680</v>
      </c>
      <c r="AL10" s="470"/>
      <c r="AM10" s="424"/>
      <c r="AN10" s="473"/>
      <c r="AO10" s="469">
        <f>IF((2-AN10/Varz8NLV3)*Varz8TKV3*Varz8VK&gt;0,(2-AN10/Varz8NLV3)*Varz8TKV3*Varz8VK,10)</f>
        <v>1760.0000000000002</v>
      </c>
      <c r="AP10" s="474"/>
      <c r="AQ10" s="475"/>
      <c r="AR10" s="476"/>
      <c r="AS10" s="469">
        <f>IF((2-AR10/Varz9NLV3)*Varz9TKV3*Varz9VK&gt;0,(2-AR10/Varz9NLV3)*Varz9TKV3*Varz9VK,10)</f>
        <v>1540.0000000000002</v>
      </c>
      <c r="AT10" s="474"/>
      <c r="AU10" s="475"/>
      <c r="AV10" s="476"/>
      <c r="AW10" s="469">
        <f>IF(AV10="dsq",0,IF((2-AV10/Varz10NLV3)*Varz10TKV3*Varz10VK&gt;0,(2-AV10/Varz10NLV3)*Varz10TKV3*Varz10VK,10))</f>
        <v>1470</v>
      </c>
      <c r="AX10" s="474"/>
      <c r="AY10" s="475"/>
      <c r="AZ10" s="476"/>
      <c r="BA10" s="469">
        <f>IF(AZ10="dsq",0,IF((2-AZ10/Varz11NLV3)*Varz11TKV3*Varz11VK&gt;0,(2-AZ10/Varz11NLV3)*Varz11TKV3*Varz11VK,10))</f>
        <v>1470</v>
      </c>
      <c r="BB10" s="474"/>
      <c r="BC10" s="475"/>
      <c r="BD10" s="476"/>
      <c r="BE10" s="469">
        <f>IF(BD10="dsq",0,IF((2-BD10/Varz12NLV3)*Varz12TKV3*Varz12VK&gt;0,(2-BD10/Varz12NLV3)*Varz12TKV3*Varz12VK,10))</f>
        <v>1470</v>
      </c>
      <c r="BF10" s="474"/>
      <c r="BG10" s="475"/>
      <c r="BH10" s="476"/>
      <c r="BI10" s="469">
        <f>IF(BH10="dsq",0,IF((2-BH10/Varz13NLV3)*Varz13TKV3*Varz13VK&gt;0,(2-BH10/Varz13NLV3)*Varz13TKV3*Varz13VK,10))</f>
        <v>1400</v>
      </c>
      <c r="BJ10" s="474"/>
      <c r="BK10" s="475"/>
      <c r="BL10" s="476"/>
      <c r="BM10" s="469">
        <f>IF(BL10="dsq",0,IF((2-BL10/Varz14NLV3)*Varz14TKV3*Varz14VK&gt;0,(2-BL10/Varz14NLV3)*Varz14TKV3*Varz14VK,10))</f>
        <v>1400</v>
      </c>
      <c r="BN10" s="474"/>
      <c r="BO10" s="475"/>
      <c r="BP10" s="477"/>
      <c r="BQ10" s="469">
        <f>IF(BP10="dsq",0,IF((2-BP10/Varz15NLV3)*Varz15TKV3*Varz15VK&gt;0,(2-BP10/Varz15NLV3)*Varz15TKV3*Varz15VK,10))</f>
        <v>1400</v>
      </c>
      <c r="BR10" s="474"/>
      <c r="BS10" s="475"/>
      <c r="BT10" s="477"/>
      <c r="BU10" s="469">
        <f>IF(BT10="dsq",0,IF((2-BT10/Varz16NLV3)*Varz16TKV3*Varz16VK&gt;0,(2-BT10/Varz16NLV3)*Varz16TKV3*Varz16VK,10))</f>
        <v>1400</v>
      </c>
      <c r="BV10" s="474"/>
      <c r="BW10" s="475"/>
      <c r="BX10" s="477"/>
      <c r="BY10" s="490"/>
      <c r="BZ10" s="474"/>
      <c r="CA10" s="475"/>
      <c r="CB10" s="477"/>
      <c r="CC10" s="490"/>
      <c r="CD10" s="478"/>
      <c r="CE10" s="487" t="s">
        <v>158</v>
      </c>
      <c r="CF10" s="480"/>
      <c r="CG10" s="481">
        <f>IF(CF10="dsq",0,IF((2-CF10/Varz20NLV3)*Varz20TKV3*Varz20VK&gt;0,(2-CF10/Varz20NLV3)*Varz20TKV3*Varz20VK,10))</f>
        <v>1540.0000000000002</v>
      </c>
      <c r="CH10" s="478"/>
      <c r="CI10" s="487" t="s">
        <v>158</v>
      </c>
      <c r="CJ10" s="482"/>
      <c r="CK10" s="481">
        <f>IF(CJ10="dsq",0,IF((2-CJ10/Varz21NLV3)*Varz21TKV3*Varz21VK&gt;0,(2-CJ10/Varz21NLV3)*Varz21TKV3*Varz21VK,10))</f>
        <v>1400</v>
      </c>
      <c r="CL10" s="483"/>
      <c r="CM10" s="488" t="s">
        <v>158</v>
      </c>
      <c r="CN10" s="482"/>
      <c r="CO10" s="481">
        <f>IF(CN10="dsq",0,IF((2-CN10/Varz22NLV3)*Varz22TKV3*Varz22VK&gt;0,(2-CN10/Varz22NLV3)*Varz22TKV3*Varz22VK,10))</f>
        <v>1400</v>
      </c>
      <c r="CP10" s="483"/>
      <c r="CQ10" s="488" t="s">
        <v>158</v>
      </c>
      <c r="CR10" s="482"/>
      <c r="CS10" s="481">
        <f>IF(CR10="dsq",0,IF((2-CR10/Varz23NLV3)*Varz23TKV3*Varz23VK&gt;0,(2-CR10/Varz23NLV3)*Varz23TKV3*Varz23VK,10))</f>
        <v>1400</v>
      </c>
      <c r="CT10" s="483"/>
      <c r="CU10" s="488" t="s">
        <v>158</v>
      </c>
      <c r="CV10" s="482"/>
      <c r="CW10" s="481">
        <f>IF(CV10="dsq",0,IF((2-CV10/Varz24NLV3)*Varz24TKV3*Varz24VK&gt;0,(2-CV10/Varz24NLV3)*Varz24TKV3*Varz24VK,10))</f>
        <v>1400</v>
      </c>
      <c r="CX10" s="483"/>
      <c r="CY10" s="488" t="s">
        <v>158</v>
      </c>
      <c r="CZ10" s="482"/>
      <c r="DA10" s="481">
        <f>IF(CZ10="dsq",0,IF((2-CZ10/Varz25NLV3)*Varz25TKV3*Varz25VK&gt;0,(2-CZ10/Varz25NLV3)*Varz25TKV3*Varz25VK,10))</f>
        <v>1400</v>
      </c>
      <c r="DB10" s="483"/>
      <c r="DC10" s="488" t="s">
        <v>158</v>
      </c>
      <c r="DD10" s="482"/>
      <c r="DE10" s="481">
        <f>IF(DD10="dsq",0,IF((2-DD10/Varz26NLV3)*Varz26TKV3*Varz26VK&gt;0,(2-DD10/Varz26NLV3)*Varz26TKV3*Varz26VK,10))</f>
        <v>1400</v>
      </c>
    </row>
    <row r="11" spans="2:109" ht="15" customHeight="1" hidden="1">
      <c r="B11" s="462"/>
      <c r="C11" s="463"/>
      <c r="D11" s="463"/>
      <c r="E11" s="464"/>
      <c r="F11" s="547"/>
      <c r="G11" s="465"/>
      <c r="H11" s="465"/>
      <c r="I11" s="465"/>
      <c r="J11" s="466"/>
      <c r="K11" s="467"/>
      <c r="L11" s="468"/>
      <c r="M11" s="491"/>
      <c r="N11" s="470"/>
      <c r="O11" s="471"/>
      <c r="P11" s="472"/>
      <c r="Q11" s="489"/>
      <c r="R11" s="470"/>
      <c r="S11" s="471"/>
      <c r="T11" s="472"/>
      <c r="U11" s="469" t="e">
        <f>IF((2-T11/Varz3NLV4)*Varz3TKV4*Varz3VK&gt;0,(2-T11/Varz3NLV4)*Varz3TKV4*Varz3VK,10)</f>
        <v>#DIV/0!</v>
      </c>
      <c r="V11" s="470"/>
      <c r="W11" s="471"/>
      <c r="X11" s="472"/>
      <c r="Y11" s="469">
        <f>IF((2-X11/Varz4NLV4)*Varz4TKV4*Varz4VK&gt;0,(2-X11/Varz4NLV4)*Varz4TKV4*Varz4VK,10)</f>
        <v>1080</v>
      </c>
      <c r="Z11" s="470"/>
      <c r="AA11" s="471"/>
      <c r="AB11" s="472"/>
      <c r="AC11" s="469">
        <f>IF((2-AB11/Varz5NLV4)*Varz5TKV4*Varz5VK&gt;0,(2-AB11/Varz5NLV4)*Varz5TKV4*Varz5VK,10)</f>
        <v>1470</v>
      </c>
      <c r="AD11" s="470"/>
      <c r="AE11" s="424"/>
      <c r="AF11" s="472"/>
      <c r="AG11" s="469">
        <f>IF((2-AF11/Varz6NLV4)*Varz6TKV4*Varz6VK&gt;0,(2-AF11/Varz6NLV4)*Varz6TKV4*Varz6VK,10)</f>
        <v>1470</v>
      </c>
      <c r="AH11" s="470"/>
      <c r="AI11" s="424"/>
      <c r="AJ11" s="421"/>
      <c r="AK11" s="469">
        <f>IF((2-AJ11/Varz7NLV4)*Varz7TKV4*Varz7VK&gt;0,(2-AJ11/Varz7NLV4)*Varz7TKV4*Varz7VK,10)</f>
        <v>1470</v>
      </c>
      <c r="AL11" s="470"/>
      <c r="AM11" s="424"/>
      <c r="AN11" s="473"/>
      <c r="AO11" s="469">
        <f>IF((2-AN11/Varz8NLV4)*Varz8TKV4*Varz8VK&gt;0,(2-AN11/Varz8NLV4)*Varz8TKV4*Varz8VK,10)</f>
        <v>1540.0000000000002</v>
      </c>
      <c r="AP11" s="474"/>
      <c r="AQ11" s="475"/>
      <c r="AR11" s="476"/>
      <c r="AS11" s="469">
        <f>IF((2-AR11/Varz9NLV4)*Varz9TKV4*Varz9VK&gt;0,(2-AR11/Varz9NLV4)*Varz9TKV4*Varz9VK,10)</f>
        <v>1320</v>
      </c>
      <c r="AT11" s="474"/>
      <c r="AU11" s="475"/>
      <c r="AV11" s="476"/>
      <c r="AW11" s="469">
        <f>IF(AV11="dsq",0,IF((2-AV11/Varz10NLV4)*Varz10TKV4*Varz10VK&gt;0,(2-AV11/Varz10NLV4)*Varz10TKV4*Varz10VK,10))</f>
        <v>1260</v>
      </c>
      <c r="AX11" s="474"/>
      <c r="AY11" s="475"/>
      <c r="AZ11" s="476"/>
      <c r="BA11" s="469">
        <f>IF(AZ11="dsq",0,IF((2-AZ11/Varz11NLV4)*Varz11TKV4*Varz11VK&gt;0,(2-AZ11/Varz11NLV4)*Varz11TKV4*Varz11VK,10))</f>
        <v>1260</v>
      </c>
      <c r="BB11" s="474"/>
      <c r="BC11" s="475"/>
      <c r="BD11" s="476"/>
      <c r="BE11" s="469">
        <f>IF(BD11="dsq",0,IF((2-BD11/Varz12NLV4)*Varz12TKV4*Varz12VK&gt;0,(2-BD11/Varz12NLV4)*Varz12TKV4*Varz12VK,10))</f>
        <v>1260</v>
      </c>
      <c r="BF11" s="474"/>
      <c r="BG11" s="475"/>
      <c r="BH11" s="476"/>
      <c r="BI11" s="469"/>
      <c r="BJ11" s="474"/>
      <c r="BK11" s="475"/>
      <c r="BL11" s="476"/>
      <c r="BM11" s="469"/>
      <c r="BN11" s="474"/>
      <c r="BO11" s="475"/>
      <c r="BP11" s="477"/>
      <c r="BQ11" s="490"/>
      <c r="BR11" s="474"/>
      <c r="BS11" s="475"/>
      <c r="BT11" s="477"/>
      <c r="BU11" s="490"/>
      <c r="BV11" s="474"/>
      <c r="BW11" s="475"/>
      <c r="BX11" s="477"/>
      <c r="BY11" s="469">
        <f>IF(BX11="dsq",0,IF((2-BX11/Varz17NLV4)*Varz17TKV4*Varz17VK&gt;0,(2-BX11/Varz17NLV4)*Varz17TKV4*Varz17VK,10))</f>
        <v>1260</v>
      </c>
      <c r="BZ11" s="474"/>
      <c r="CA11" s="475"/>
      <c r="CB11" s="477"/>
      <c r="CC11" s="469">
        <f>IF(CB11="dsq",0,IF((2-CB11/Varz18NLV4)*Varz18TKV4*Varz18VK&gt;0,(2-CB11/Varz18NLV4)*Varz18TKV4*Varz18VK,10))</f>
        <v>1260</v>
      </c>
      <c r="CD11" s="478"/>
      <c r="CE11" s="487" t="s">
        <v>172</v>
      </c>
      <c r="CF11" s="480"/>
      <c r="CG11" s="481">
        <f>IF(CF11="dsq",0,IF((2-CF11/Varz20NLV4)*Varz20TKV4*Varz20VK&gt;0,(2-CF11/Varz20NLV4)*Varz20TKV4*Varz20VK,10))</f>
        <v>1320</v>
      </c>
      <c r="CH11" s="478"/>
      <c r="CI11" s="487" t="s">
        <v>172</v>
      </c>
      <c r="CJ11" s="482"/>
      <c r="CK11" s="481"/>
      <c r="CL11" s="483"/>
      <c r="CM11" s="488"/>
      <c r="CN11" s="482"/>
      <c r="CO11" s="481"/>
      <c r="CP11" s="483"/>
      <c r="CQ11" s="488"/>
      <c r="CR11" s="482"/>
      <c r="CS11" s="481"/>
      <c r="CT11" s="483"/>
      <c r="CU11" s="488"/>
      <c r="CV11" s="482"/>
      <c r="CW11" s="481"/>
      <c r="CX11" s="483"/>
      <c r="CY11" s="488"/>
      <c r="CZ11" s="482"/>
      <c r="DA11" s="481"/>
      <c r="DB11" s="483"/>
      <c r="DC11" s="488"/>
      <c r="DD11" s="482"/>
      <c r="DE11" s="481"/>
    </row>
    <row r="12" spans="2:109" ht="15" customHeight="1" hidden="1">
      <c r="B12" s="462"/>
      <c r="C12" s="463"/>
      <c r="D12" s="463"/>
      <c r="E12" s="464"/>
      <c r="F12" s="547"/>
      <c r="G12" s="465"/>
      <c r="H12" s="465"/>
      <c r="I12" s="465"/>
      <c r="J12" s="466"/>
      <c r="K12" s="467"/>
      <c r="L12" s="468"/>
      <c r="M12" s="491"/>
      <c r="N12" s="470"/>
      <c r="O12" s="471"/>
      <c r="P12" s="472"/>
      <c r="Q12" s="489"/>
      <c r="R12" s="470"/>
      <c r="S12" s="471"/>
      <c r="T12" s="472"/>
      <c r="U12" s="469"/>
      <c r="V12" s="470"/>
      <c r="W12" s="471"/>
      <c r="X12" s="472"/>
      <c r="Y12" s="469"/>
      <c r="Z12" s="470"/>
      <c r="AA12" s="471"/>
      <c r="AB12" s="472"/>
      <c r="AC12" s="469"/>
      <c r="AD12" s="470"/>
      <c r="AE12" s="424"/>
      <c r="AF12" s="472"/>
      <c r="AG12" s="469"/>
      <c r="AH12" s="470"/>
      <c r="AI12" s="424"/>
      <c r="AJ12" s="421"/>
      <c r="AK12" s="469"/>
      <c r="AL12" s="470"/>
      <c r="AM12" s="424"/>
      <c r="AN12" s="473"/>
      <c r="AO12" s="469">
        <f>IF((2-AN12/Varz8NLV5)*Varz8TKV5*Varz8VK&gt;0,(2-AN12/Varz8NLV5)*Varz8TKV5*Varz8VK,10)</f>
        <v>1320</v>
      </c>
      <c r="AP12" s="474"/>
      <c r="AQ12" s="475"/>
      <c r="AR12" s="476"/>
      <c r="AS12" s="469">
        <f>IF((2-AR12/Varz9NLV5)*varz9TKV5*Varz9VK&gt;0,(2-AR12/Varz9NLV5)*varz9TKV5*Varz9VK,10)</f>
        <v>1100</v>
      </c>
      <c r="AT12" s="474"/>
      <c r="AU12" s="475"/>
      <c r="AV12" s="476"/>
      <c r="AW12" s="469">
        <f>IF(AV12="dsq",0,IF((2-AV12/Varz10NLV5)*Varz10TKV5*Varz10VK&gt;0,(2-AV12/Varz10NLV5)*Varz10TKV5*Varz10VK,10))</f>
        <v>1050</v>
      </c>
      <c r="AX12" s="474"/>
      <c r="AY12" s="475"/>
      <c r="AZ12" s="476"/>
      <c r="BA12" s="469">
        <f>IF(AZ12="dsq",0,IF((2-AZ12/Varz11NLV5)*Varz11TKV5*Varz11VK&gt;0,(2-AZ12/Varz11NLV5)*Varz11TKV5*Varz11VK,10))</f>
        <v>1050</v>
      </c>
      <c r="BB12" s="474"/>
      <c r="BC12" s="475"/>
      <c r="BD12" s="476"/>
      <c r="BE12" s="469">
        <f>IF(BD12="dsq",0,IF((2-BD12/Varz12NLV5)*Varz12TKV5*Varz12VK&gt;0,(2-BD12/Varz12NLV5)*Varz12TKV5*Varz12VK,10))</f>
        <v>1050</v>
      </c>
      <c r="BF12" s="474"/>
      <c r="BG12" s="475"/>
      <c r="BH12" s="476"/>
      <c r="BI12" s="469"/>
      <c r="BJ12" s="474"/>
      <c r="BK12" s="475"/>
      <c r="BL12" s="476"/>
      <c r="BM12" s="469"/>
      <c r="BN12" s="474"/>
      <c r="BO12" s="475"/>
      <c r="BP12" s="477"/>
      <c r="BQ12" s="490"/>
      <c r="BR12" s="474"/>
      <c r="BS12" s="475"/>
      <c r="BT12" s="477"/>
      <c r="BU12" s="490"/>
      <c r="BV12" s="474"/>
      <c r="BW12" s="475"/>
      <c r="BX12" s="477"/>
      <c r="BY12" s="486" t="e">
        <f>IF(BX13="dsq",0,IF((2-BX13/Varz17NLV5)*Varz17TKV5*Varz17VK&gt;0,(2-BX13/Varz17NLV5)*Varz17TKV5*Varz17VK,10))</f>
        <v>#DIV/0!</v>
      </c>
      <c r="BZ12" s="474"/>
      <c r="CA12" s="475"/>
      <c r="CB12" s="477"/>
      <c r="CC12" s="486" t="e">
        <f>IF(CB13="dsq",0,IF((2-CB13/Varz18NLV5)*Varz18TKV5*Varz18VK&gt;0,(2-CB13/Varz18NLV5)*Varz18TKV5*Varz18VK,10))</f>
        <v>#DIV/0!</v>
      </c>
      <c r="CD12" s="478"/>
      <c r="CE12" s="487"/>
      <c r="CF12" s="480"/>
      <c r="CG12" s="481"/>
      <c r="CH12" s="478"/>
      <c r="CI12" s="487"/>
      <c r="CJ12" s="482"/>
      <c r="CK12" s="481"/>
      <c r="CL12" s="483"/>
      <c r="CM12" s="488"/>
      <c r="CN12" s="482"/>
      <c r="CO12" s="481"/>
      <c r="CP12" s="483"/>
      <c r="CQ12" s="488"/>
      <c r="CR12" s="482"/>
      <c r="CS12" s="481"/>
      <c r="CT12" s="483"/>
      <c r="CU12" s="488"/>
      <c r="CV12" s="482"/>
      <c r="CW12" s="481"/>
      <c r="CX12" s="483"/>
      <c r="CY12" s="488"/>
      <c r="CZ12" s="482"/>
      <c r="DA12" s="481"/>
      <c r="DB12" s="483"/>
      <c r="DC12" s="488"/>
      <c r="DD12" s="482"/>
      <c r="DE12" s="481"/>
    </row>
    <row r="13" spans="2:109" ht="15" customHeight="1" hidden="1">
      <c r="B13" s="462"/>
      <c r="C13" s="463"/>
      <c r="D13" s="463"/>
      <c r="E13" s="464"/>
      <c r="F13" s="547"/>
      <c r="G13" s="465"/>
      <c r="H13" s="465"/>
      <c r="I13" s="465"/>
      <c r="J13" s="466"/>
      <c r="K13" s="467"/>
      <c r="L13" s="468"/>
      <c r="M13" s="491"/>
      <c r="N13" s="470"/>
      <c r="O13" s="471"/>
      <c r="P13" s="472"/>
      <c r="Q13" s="489"/>
      <c r="R13" s="470"/>
      <c r="S13" s="471"/>
      <c r="T13" s="472"/>
      <c r="U13" s="492"/>
      <c r="V13" s="470"/>
      <c r="W13" s="471"/>
      <c r="X13" s="472"/>
      <c r="Y13" s="492"/>
      <c r="Z13" s="470"/>
      <c r="AA13" s="471"/>
      <c r="AB13" s="472"/>
      <c r="AC13" s="492"/>
      <c r="AD13" s="470"/>
      <c r="AE13" s="424"/>
      <c r="AF13" s="472"/>
      <c r="AG13" s="492"/>
      <c r="AH13" s="470"/>
      <c r="AI13" s="424"/>
      <c r="AJ13" s="421"/>
      <c r="AK13" s="422"/>
      <c r="AL13" s="470"/>
      <c r="AM13" s="424"/>
      <c r="AN13" s="473"/>
      <c r="AO13" s="469">
        <f>IF((2-AN13/Varz8NLV6)*Varz8TKV6*Varz8VK&gt;0,(2-AN13/Varz8NLV6)*Varz8TKV6*Varz8VK,10)</f>
        <v>1100</v>
      </c>
      <c r="AP13" s="474"/>
      <c r="AQ13" s="475"/>
      <c r="AR13" s="476"/>
      <c r="AS13" s="493"/>
      <c r="AT13" s="474"/>
      <c r="AU13" s="475"/>
      <c r="AV13" s="476"/>
      <c r="AW13" s="490"/>
      <c r="AX13" s="474"/>
      <c r="AY13" s="475"/>
      <c r="AZ13" s="476"/>
      <c r="BA13" s="490"/>
      <c r="BB13" s="474"/>
      <c r="BC13" s="475"/>
      <c r="BD13" s="476"/>
      <c r="BE13" s="490"/>
      <c r="BF13" s="474"/>
      <c r="BG13" s="475"/>
      <c r="BH13" s="476"/>
      <c r="BI13" s="469"/>
      <c r="BJ13" s="474"/>
      <c r="BK13" s="475"/>
      <c r="BL13" s="476"/>
      <c r="BM13" s="469"/>
      <c r="BN13" s="474"/>
      <c r="BO13" s="475"/>
      <c r="BP13" s="477"/>
      <c r="BQ13" s="490"/>
      <c r="BR13" s="474"/>
      <c r="BS13" s="475"/>
      <c r="BT13" s="477"/>
      <c r="BU13" s="490"/>
      <c r="BV13" s="474"/>
      <c r="BW13" s="475"/>
      <c r="BX13" s="477"/>
      <c r="BZ13" s="474"/>
      <c r="CA13" s="475"/>
      <c r="CB13" s="477"/>
      <c r="CD13" s="478"/>
      <c r="CE13" s="487" t="s">
        <v>173</v>
      </c>
      <c r="CF13" s="480"/>
      <c r="CG13" s="481"/>
      <c r="CH13" s="478"/>
      <c r="CI13" s="487" t="s">
        <v>173</v>
      </c>
      <c r="CJ13" s="482"/>
      <c r="CK13" s="481"/>
      <c r="CL13" s="483"/>
      <c r="CM13" s="488"/>
      <c r="CN13" s="482"/>
      <c r="CO13" s="481"/>
      <c r="CP13" s="478"/>
      <c r="CQ13" s="487" t="s">
        <v>173</v>
      </c>
      <c r="CR13" s="480"/>
      <c r="CS13" s="486">
        <f>IF(CR13="dsq",0,IF((2-CR13/Varz20NLM4)*Varz20TKM4*Varz20VK&gt;0,(2-CR13/Varz20NLM4)*Varz20TKM4*Varz20VK,10))</f>
        <v>1320</v>
      </c>
      <c r="CT13" s="478"/>
      <c r="CU13" s="487" t="s">
        <v>173</v>
      </c>
      <c r="CV13" s="480"/>
      <c r="CW13" s="486">
        <f>IF(CV13="dsq",0,IF((2-CV13/Varz20NLM4)*Varz20TKM4*Varz20VK&gt;0,(2-CV13/Varz20NLM4)*Varz20TKM4*Varz20VK,10))</f>
        <v>1320</v>
      </c>
      <c r="CX13" s="483"/>
      <c r="CY13" s="488"/>
      <c r="CZ13" s="482"/>
      <c r="DA13" s="481"/>
      <c r="DB13" s="483"/>
      <c r="DC13" s="488"/>
      <c r="DD13" s="482"/>
      <c r="DE13" s="481"/>
    </row>
    <row r="14" spans="7:109" ht="3" customHeight="1" hidden="1">
      <c r="G14" s="496"/>
      <c r="H14" s="496"/>
      <c r="I14" s="496"/>
      <c r="M14" s="491"/>
      <c r="R14" s="500"/>
      <c r="U14" s="491"/>
      <c r="Y14" s="491"/>
      <c r="AC14" s="491"/>
      <c r="AG14" s="491"/>
      <c r="AJ14" s="421">
        <f>Varz7NLV3</f>
        <v>0.03751157407407407</v>
      </c>
      <c r="AK14" s="422">
        <f>Varz7VK*Varz7TKV3</f>
        <v>840</v>
      </c>
      <c r="AO14" s="491"/>
      <c r="AS14" s="502"/>
      <c r="AW14" s="459"/>
      <c r="BA14" s="459"/>
      <c r="BE14" s="459"/>
      <c r="BI14" s="459"/>
      <c r="BM14" s="459"/>
      <c r="BQ14" s="459"/>
      <c r="BU14" s="459"/>
      <c r="BY14" s="459"/>
      <c r="CC14" s="459"/>
      <c r="CG14" s="469"/>
      <c r="CK14" s="469">
        <f>IF(CJ14="dsq",0,IF((2-CJ14/Varz20NLV1)*Varz20TKV1*Varz20VK&gt;0,(2-CJ14/Varz20NLV1)*Varz20TKV1*Varz20VK,10))</f>
        <v>2200</v>
      </c>
      <c r="CO14" s="469">
        <f>IF(CN14="dsq",0,IF((2-CN14/Varz20NLV1)*Varz20TKV1*Varz20VK&gt;0,(2-CN14/Varz20NLV1)*Varz20TKV1*Varz20VK,10))</f>
        <v>2200</v>
      </c>
      <c r="CS14" s="469">
        <f>IF(CR14="dsq",0,IF((2-CR14/Varz20NLV1)*Varz20TKV1*Varz20VK&gt;0,(2-CR14/Varz20NLV1)*Varz20TKV1*Varz20VK,10))</f>
        <v>2200</v>
      </c>
      <c r="CW14" s="469">
        <f>IF(CV14="dsq",0,IF((2-CV14/Varz20NLV1)*Varz20TKV1*Varz20VK&gt;0,(2-CV14/Varz20NLV1)*Varz20TKV1*Varz20VK,10))</f>
        <v>2200</v>
      </c>
      <c r="DA14" s="469">
        <f>IF(CZ14="dsq",0,IF((2-CZ14/Varz20NLV1)*Varz20TKV1*Varz20VK&gt;0,(2-CZ14/Varz20NLV1)*Varz20TKV1*Varz20VK,10))</f>
        <v>2200</v>
      </c>
      <c r="DE14" s="469">
        <f>IF(DD14="dsq",0,IF((2-DD14/Varz20NLV1)*Varz20TKV1*Varz20VK&gt;0,(2-DD14/Varz20NLV1)*Varz20TKV1*Varz20VK,10))</f>
        <v>2200</v>
      </c>
    </row>
    <row r="15" spans="1:109" ht="12.75">
      <c r="A15" s="504">
        <v>1</v>
      </c>
      <c r="B15" s="505" t="s">
        <v>127</v>
      </c>
      <c r="C15" s="371" t="s">
        <v>10</v>
      </c>
      <c r="D15" s="371" t="s">
        <v>21</v>
      </c>
      <c r="F15" s="190">
        <v>1992</v>
      </c>
      <c r="G15" s="506">
        <f>H15-AW15-M15-BU15-BQ15-DE15</f>
        <v>12379.220934546214</v>
      </c>
      <c r="H15" s="507">
        <f aca="true" t="shared" si="0" ref="H15:H78">M15+Q15+U15+Y15+AC15+AG15+AK15+AO15+AS15+AW15+BA15+BE15+BI15+BM15+BQ15+BU15+BY15+CC15+CG15+CK15+CO15+CS15+CW15+DA15+DE15</f>
        <v>16224.114245436796</v>
      </c>
      <c r="I15" s="508">
        <v>17</v>
      </c>
      <c r="J15" s="509" t="s">
        <v>547</v>
      </c>
      <c r="K15" s="509" t="s">
        <v>1</v>
      </c>
      <c r="L15" s="509" t="s">
        <v>358</v>
      </c>
      <c r="M15" s="546">
        <v>0</v>
      </c>
      <c r="N15" s="509" t="s">
        <v>551</v>
      </c>
      <c r="O15" s="509" t="s">
        <v>1</v>
      </c>
      <c r="P15" s="513">
        <v>0.04096064814814815</v>
      </c>
      <c r="Q15" s="481">
        <v>1000</v>
      </c>
      <c r="R15" s="524"/>
      <c r="S15" s="499"/>
      <c r="U15" s="481"/>
      <c r="V15" s="524"/>
      <c r="W15" s="499"/>
      <c r="Y15" s="491"/>
      <c r="Z15" s="509" t="s">
        <v>443</v>
      </c>
      <c r="AA15" s="509" t="s">
        <v>1</v>
      </c>
      <c r="AB15" s="520">
        <v>0.01355324074074074</v>
      </c>
      <c r="AC15" s="481">
        <v>1050</v>
      </c>
      <c r="AD15" s="509" t="s">
        <v>443</v>
      </c>
      <c r="AE15" s="509" t="s">
        <v>1</v>
      </c>
      <c r="AF15" s="520">
        <v>0.06190972222222222</v>
      </c>
      <c r="AG15" s="481">
        <v>1045.8614864864867</v>
      </c>
      <c r="AH15" s="509" t="s">
        <v>443</v>
      </c>
      <c r="AI15" s="509" t="s">
        <v>1</v>
      </c>
      <c r="AJ15" s="520">
        <v>0.04627314814814815</v>
      </c>
      <c r="AK15" s="481">
        <v>1011.3329875518674</v>
      </c>
      <c r="AL15" s="509" t="s">
        <v>625</v>
      </c>
      <c r="AM15" s="509" t="s">
        <v>1</v>
      </c>
      <c r="AN15" s="513">
        <v>0.07762731481481482</v>
      </c>
      <c r="AO15" s="481">
        <v>1100</v>
      </c>
      <c r="AP15" s="509" t="s">
        <v>625</v>
      </c>
      <c r="AQ15" s="509" t="s">
        <v>1</v>
      </c>
      <c r="AR15" s="513">
        <v>0.02065972222222222</v>
      </c>
      <c r="AS15" s="481">
        <v>1061.0788863109053</v>
      </c>
      <c r="AT15" s="509" t="s">
        <v>377</v>
      </c>
      <c r="AU15" s="509" t="s">
        <v>1</v>
      </c>
      <c r="AV15" s="513">
        <v>0.021574074074074075</v>
      </c>
      <c r="AW15" s="546">
        <v>918.1159420289856</v>
      </c>
      <c r="AX15" s="509" t="s">
        <v>377</v>
      </c>
      <c r="AY15" s="509" t="s">
        <v>1</v>
      </c>
      <c r="AZ15" s="513">
        <v>0.032326388888888884</v>
      </c>
      <c r="BA15" s="481">
        <v>1050</v>
      </c>
      <c r="BB15" s="509" t="s">
        <v>377</v>
      </c>
      <c r="BC15" s="509" t="s">
        <v>1</v>
      </c>
      <c r="BD15" s="513">
        <v>0.04678240740740741</v>
      </c>
      <c r="BE15" s="481">
        <v>1018.4250764525993</v>
      </c>
      <c r="BF15" s="509" t="s">
        <v>700</v>
      </c>
      <c r="BG15" s="509" t="s">
        <v>1</v>
      </c>
      <c r="BH15" s="513">
        <v>0.024756944444444443</v>
      </c>
      <c r="BI15" s="546">
        <v>991.9886899151744</v>
      </c>
      <c r="BJ15" s="509" t="s">
        <v>700</v>
      </c>
      <c r="BK15" s="509" t="s">
        <v>1</v>
      </c>
      <c r="BL15" s="513">
        <v>0.009849537037037037</v>
      </c>
      <c r="BM15" s="481">
        <v>1000</v>
      </c>
      <c r="BN15" s="509" t="s">
        <v>700</v>
      </c>
      <c r="BO15" s="509" t="s">
        <v>1</v>
      </c>
      <c r="BP15" s="513">
        <v>0.052638888888888895</v>
      </c>
      <c r="BQ15" s="546">
        <v>990.9030397159972</v>
      </c>
      <c r="BR15" s="509" t="s">
        <v>700</v>
      </c>
      <c r="BS15" s="509" t="s">
        <v>1</v>
      </c>
      <c r="BT15" s="513">
        <v>0.03357638888888889</v>
      </c>
      <c r="BU15" s="546">
        <v>981.3904494382022</v>
      </c>
      <c r="BV15" s="499"/>
      <c r="BW15" s="499"/>
      <c r="BX15" s="516"/>
      <c r="BY15" s="481"/>
      <c r="BZ15" s="499"/>
      <c r="CA15" s="499"/>
      <c r="CB15" s="516"/>
      <c r="CC15" s="481"/>
      <c r="CD15" s="509" t="s">
        <v>292</v>
      </c>
      <c r="CE15" s="509" t="s">
        <v>1</v>
      </c>
      <c r="CF15" s="512">
        <v>0.03738425925925926</v>
      </c>
      <c r="CG15" s="481">
        <v>1050.5338078291813</v>
      </c>
      <c r="CH15" s="499"/>
      <c r="CI15" s="499"/>
      <c r="CJ15" s="516"/>
      <c r="CK15" s="481"/>
      <c r="CL15" s="499"/>
      <c r="CM15" s="499"/>
      <c r="CN15" s="516"/>
      <c r="CO15" s="481"/>
      <c r="CP15" s="499"/>
      <c r="CQ15" s="499"/>
      <c r="CR15" s="526"/>
      <c r="CS15" s="481"/>
      <c r="CT15" s="499"/>
      <c r="CU15" s="499"/>
      <c r="CV15" s="526"/>
      <c r="CW15" s="481"/>
      <c r="CX15" s="499" t="s">
        <v>443</v>
      </c>
      <c r="CY15" s="499" t="s">
        <v>1</v>
      </c>
      <c r="CZ15" s="513">
        <v>0.05194444444444444</v>
      </c>
      <c r="DA15" s="481">
        <v>1000</v>
      </c>
      <c r="DB15" s="499" t="s">
        <v>443</v>
      </c>
      <c r="DC15" s="499" t="s">
        <v>1</v>
      </c>
      <c r="DD15" s="513">
        <v>0.04466435185185185</v>
      </c>
      <c r="DE15" s="546">
        <v>954.4838797073965</v>
      </c>
    </row>
    <row r="16" spans="1:109" ht="12.75">
      <c r="A16" s="504">
        <v>2</v>
      </c>
      <c r="B16" s="505" t="s">
        <v>119</v>
      </c>
      <c r="C16" s="371" t="s">
        <v>10</v>
      </c>
      <c r="D16" s="371" t="s">
        <v>49</v>
      </c>
      <c r="F16" s="190">
        <v>1982</v>
      </c>
      <c r="G16" s="506">
        <f>H16-BQ16</f>
        <v>11884.729184986325</v>
      </c>
      <c r="H16" s="507">
        <f t="shared" si="0"/>
        <v>11884.729184986325</v>
      </c>
      <c r="I16" s="508">
        <v>13</v>
      </c>
      <c r="J16" s="524"/>
      <c r="K16" s="499"/>
      <c r="M16" s="491"/>
      <c r="N16" s="509" t="s">
        <v>551</v>
      </c>
      <c r="O16" s="509" t="s">
        <v>1</v>
      </c>
      <c r="P16" s="513">
        <v>0.04541666666666667</v>
      </c>
      <c r="Q16" s="481">
        <v>891.2122068380899</v>
      </c>
      <c r="R16" s="524"/>
      <c r="S16" s="499"/>
      <c r="U16" s="491"/>
      <c r="V16" s="524"/>
      <c r="W16" s="499"/>
      <c r="Y16" s="491"/>
      <c r="Z16" s="509" t="s">
        <v>443</v>
      </c>
      <c r="AA16" s="509" t="s">
        <v>1</v>
      </c>
      <c r="AB16" s="520">
        <v>0.01579861111111111</v>
      </c>
      <c r="AC16" s="481">
        <v>876.0461144321094</v>
      </c>
      <c r="AD16" s="509"/>
      <c r="AE16" s="509"/>
      <c r="AF16" s="501"/>
      <c r="AG16" s="491"/>
      <c r="AH16" s="509" t="s">
        <v>443</v>
      </c>
      <c r="AI16" s="509" t="s">
        <v>1</v>
      </c>
      <c r="AJ16" s="520">
        <v>0.04731481481481481</v>
      </c>
      <c r="AK16" s="481">
        <v>986.8257261410791</v>
      </c>
      <c r="AL16" s="509" t="s">
        <v>625</v>
      </c>
      <c r="AM16" s="509" t="s">
        <v>1</v>
      </c>
      <c r="AN16" s="513">
        <v>0.07921296296296297</v>
      </c>
      <c r="AO16" s="481">
        <v>1077.5309378261518</v>
      </c>
      <c r="AP16" s="524"/>
      <c r="AQ16" s="524"/>
      <c r="AR16" s="535"/>
      <c r="AS16" s="481"/>
      <c r="AT16" s="509" t="s">
        <v>377</v>
      </c>
      <c r="AU16" s="509" t="s">
        <v>1</v>
      </c>
      <c r="AV16" s="513">
        <v>0.019618055555555555</v>
      </c>
      <c r="AW16" s="481">
        <v>1025.2717391304352</v>
      </c>
      <c r="AX16" s="509" t="s">
        <v>377</v>
      </c>
      <c r="AY16" s="509" t="s">
        <v>1</v>
      </c>
      <c r="AZ16" s="513">
        <v>0.03398148148148148</v>
      </c>
      <c r="BA16" s="481">
        <v>996.2406015037593</v>
      </c>
      <c r="BB16" s="509"/>
      <c r="BC16" s="509"/>
      <c r="BD16" s="509"/>
      <c r="BE16" s="481"/>
      <c r="BF16" s="509"/>
      <c r="BG16" s="509"/>
      <c r="BH16" s="509"/>
      <c r="BI16" s="481"/>
      <c r="BJ16" s="509" t="s">
        <v>700</v>
      </c>
      <c r="BK16" s="509" t="s">
        <v>1</v>
      </c>
      <c r="BL16" s="513">
        <v>0.009872685185185186</v>
      </c>
      <c r="BM16" s="481">
        <v>997.6498237367801</v>
      </c>
      <c r="BN16" s="509" t="s">
        <v>700</v>
      </c>
      <c r="BO16" s="509" t="s">
        <v>1</v>
      </c>
      <c r="BP16" s="509" t="s">
        <v>358</v>
      </c>
      <c r="BQ16" s="546">
        <v>0</v>
      </c>
      <c r="BR16" s="509"/>
      <c r="BS16" s="509"/>
      <c r="BT16" s="509"/>
      <c r="BU16" s="481"/>
      <c r="BV16" s="509" t="s">
        <v>237</v>
      </c>
      <c r="BW16" s="509" t="s">
        <v>1</v>
      </c>
      <c r="BX16" s="513">
        <v>0.03747685185185185</v>
      </c>
      <c r="BY16" s="481">
        <v>1033.8664158043275</v>
      </c>
      <c r="BZ16" s="509" t="s">
        <v>237</v>
      </c>
      <c r="CA16" s="509" t="s">
        <v>1</v>
      </c>
      <c r="CB16" s="513">
        <v>0.0737037037037037</v>
      </c>
      <c r="CC16" s="481">
        <v>1009.9445712422562</v>
      </c>
      <c r="CD16" s="509" t="s">
        <v>292</v>
      </c>
      <c r="CE16" s="509" t="s">
        <v>1</v>
      </c>
      <c r="CF16" s="512">
        <v>0.03721064814814815</v>
      </c>
      <c r="CG16" s="481">
        <v>1055.8718861209964</v>
      </c>
      <c r="CH16" s="499"/>
      <c r="CI16" s="499"/>
      <c r="CJ16" s="526"/>
      <c r="CK16" s="481"/>
      <c r="CL16" s="499"/>
      <c r="CM16" s="499"/>
      <c r="CN16" s="526"/>
      <c r="CO16" s="481"/>
      <c r="CP16" s="499"/>
      <c r="CQ16" s="499"/>
      <c r="CR16" s="516"/>
      <c r="CS16" s="481"/>
      <c r="CT16" s="499"/>
      <c r="CU16" s="499"/>
      <c r="CV16" s="516"/>
      <c r="CW16" s="481"/>
      <c r="CX16" s="499" t="s">
        <v>443</v>
      </c>
      <c r="CY16" s="499" t="s">
        <v>1</v>
      </c>
      <c r="CZ16" s="513">
        <v>0.05535879629629629</v>
      </c>
      <c r="DA16" s="481">
        <v>934.2691622103388</v>
      </c>
      <c r="DB16" s="499" t="s">
        <v>443</v>
      </c>
      <c r="DC16" s="499" t="s">
        <v>1</v>
      </c>
      <c r="DD16" s="513">
        <v>0.04271990740740741</v>
      </c>
      <c r="DE16" s="481">
        <v>1000</v>
      </c>
    </row>
    <row r="17" spans="1:109" ht="12.75">
      <c r="A17" s="504">
        <v>3</v>
      </c>
      <c r="B17" s="505" t="s">
        <v>128</v>
      </c>
      <c r="C17" s="371" t="s">
        <v>10</v>
      </c>
      <c r="D17" s="371" t="s">
        <v>67</v>
      </c>
      <c r="F17" s="548">
        <v>1986</v>
      </c>
      <c r="G17" s="506">
        <f>H17-BA17-BY17-AW17</f>
        <v>11693.349906924543</v>
      </c>
      <c r="H17" s="507">
        <f t="shared" si="0"/>
        <v>14249.869947593314</v>
      </c>
      <c r="I17" s="508">
        <v>15</v>
      </c>
      <c r="J17" s="509" t="s">
        <v>547</v>
      </c>
      <c r="K17" s="509" t="s">
        <v>1</v>
      </c>
      <c r="L17" s="513">
        <v>0.03362268518518518</v>
      </c>
      <c r="M17" s="481">
        <v>995.8520566885587</v>
      </c>
      <c r="N17" s="524"/>
      <c r="O17" s="499"/>
      <c r="Q17" s="491"/>
      <c r="R17" s="524"/>
      <c r="S17" s="499"/>
      <c r="T17" s="516"/>
      <c r="U17" s="481"/>
      <c r="V17" s="524"/>
      <c r="W17" s="499"/>
      <c r="X17" s="516"/>
      <c r="Y17" s="481"/>
      <c r="Z17" s="509" t="s">
        <v>443</v>
      </c>
      <c r="AA17" s="509" t="s">
        <v>1</v>
      </c>
      <c r="AB17" s="520">
        <v>0.015011574074074075</v>
      </c>
      <c r="AC17" s="481">
        <v>937.0196413321947</v>
      </c>
      <c r="AD17" s="509" t="s">
        <v>443</v>
      </c>
      <c r="AE17" s="509" t="s">
        <v>1</v>
      </c>
      <c r="AF17" s="520">
        <v>0.06321759259259259</v>
      </c>
      <c r="AG17" s="481">
        <v>1023.5923423423424</v>
      </c>
      <c r="AH17" s="509" t="s">
        <v>443</v>
      </c>
      <c r="AI17" s="509" t="s">
        <v>1</v>
      </c>
      <c r="AJ17" s="520">
        <v>0.0462037037037037</v>
      </c>
      <c r="AK17" s="481">
        <v>1012.9668049792533</v>
      </c>
      <c r="AL17" s="509" t="s">
        <v>625</v>
      </c>
      <c r="AM17" s="509" t="s">
        <v>1</v>
      </c>
      <c r="AN17" s="513">
        <v>0.08017361111111111</v>
      </c>
      <c r="AO17" s="481">
        <v>1063.918294319368</v>
      </c>
      <c r="AP17" s="509" t="s">
        <v>625</v>
      </c>
      <c r="AQ17" s="509" t="s">
        <v>1</v>
      </c>
      <c r="AR17" s="513">
        <v>0.022824074074074076</v>
      </c>
      <c r="AS17" s="481">
        <v>941.7633410672853</v>
      </c>
      <c r="AT17" s="509" t="s">
        <v>377</v>
      </c>
      <c r="AU17" s="509" t="s">
        <v>1</v>
      </c>
      <c r="AV17" s="513">
        <v>0.02193287037037037</v>
      </c>
      <c r="AW17" s="546">
        <v>898.4601449275364</v>
      </c>
      <c r="AX17" s="509" t="s">
        <v>377</v>
      </c>
      <c r="AY17" s="509" t="s">
        <v>1</v>
      </c>
      <c r="AZ17" s="513">
        <v>0.037488425925925925</v>
      </c>
      <c r="BA17" s="546">
        <v>882.330827067669</v>
      </c>
      <c r="BB17" s="509"/>
      <c r="BC17" s="509"/>
      <c r="BD17" s="509"/>
      <c r="BE17" s="481"/>
      <c r="BF17" s="509" t="s">
        <v>700</v>
      </c>
      <c r="BG17" s="509" t="s">
        <v>1</v>
      </c>
      <c r="BH17" s="513">
        <v>0.025023148148148145</v>
      </c>
      <c r="BI17" s="481">
        <v>981.1498586239397</v>
      </c>
      <c r="BJ17" s="509" t="s">
        <v>700</v>
      </c>
      <c r="BK17" s="509" t="s">
        <v>1</v>
      </c>
      <c r="BL17" s="513">
        <v>0.01068287037037037</v>
      </c>
      <c r="BM17" s="481">
        <v>915.3936545240892</v>
      </c>
      <c r="BN17" s="509" t="s">
        <v>700</v>
      </c>
      <c r="BO17" s="509" t="s">
        <v>1</v>
      </c>
      <c r="BP17" s="513">
        <v>0.05216435185185186</v>
      </c>
      <c r="BQ17" s="481">
        <v>1000</v>
      </c>
      <c r="BR17" s="509" t="s">
        <v>700</v>
      </c>
      <c r="BS17" s="509" t="s">
        <v>1</v>
      </c>
      <c r="BT17" s="513">
        <v>0.032962962962962965</v>
      </c>
      <c r="BU17" s="481">
        <v>1000</v>
      </c>
      <c r="BV17" s="509" t="s">
        <v>237</v>
      </c>
      <c r="BW17" s="509" t="s">
        <v>1</v>
      </c>
      <c r="BX17" s="513">
        <v>0.04655092592592592</v>
      </c>
      <c r="BY17" s="546">
        <v>775.7290686735657</v>
      </c>
      <c r="BZ17" s="509" t="s">
        <v>237</v>
      </c>
      <c r="CA17" s="509" t="s">
        <v>1</v>
      </c>
      <c r="CB17" s="513">
        <v>0.08041666666666666</v>
      </c>
      <c r="CC17" s="481">
        <v>910.6618845777632</v>
      </c>
      <c r="CD17" s="509" t="s">
        <v>292</v>
      </c>
      <c r="CE17" s="509" t="s">
        <v>1</v>
      </c>
      <c r="CF17" s="513">
        <v>0.0419212962962963</v>
      </c>
      <c r="CG17" s="481">
        <v>911.0320284697508</v>
      </c>
      <c r="CH17" s="499"/>
      <c r="CI17" s="499"/>
      <c r="CJ17" s="516"/>
      <c r="CK17" s="481"/>
      <c r="CL17" s="499"/>
      <c r="CM17" s="499"/>
      <c r="CN17" s="516"/>
      <c r="CO17" s="481"/>
      <c r="CP17" s="499"/>
      <c r="CQ17" s="499"/>
      <c r="CR17" s="516"/>
      <c r="CS17" s="481"/>
      <c r="CT17" s="499"/>
      <c r="CU17" s="499"/>
      <c r="CV17" s="516"/>
      <c r="CW17" s="481"/>
      <c r="CX17" s="499"/>
      <c r="CY17" s="499"/>
      <c r="CZ17" s="509"/>
      <c r="DA17" s="481"/>
      <c r="DB17" s="509"/>
      <c r="DC17" s="509"/>
      <c r="DD17" s="513"/>
      <c r="DE17" s="515"/>
    </row>
    <row r="18" spans="1:109" ht="12.75">
      <c r="A18" s="504">
        <v>4</v>
      </c>
      <c r="B18" s="505" t="s">
        <v>118</v>
      </c>
      <c r="C18" s="371" t="s">
        <v>10</v>
      </c>
      <c r="D18" s="371" t="s">
        <v>11</v>
      </c>
      <c r="F18" s="190">
        <v>1985</v>
      </c>
      <c r="G18" s="506">
        <f>H18-Q18-AC18-AW18-BQ18-CO18-BY18-BM18-AS18-DA18-DE18</f>
        <v>11534.295844139264</v>
      </c>
      <c r="H18" s="507">
        <f t="shared" si="0"/>
        <v>17413.858139118194</v>
      </c>
      <c r="I18" s="508">
        <v>22</v>
      </c>
      <c r="J18" s="509" t="s">
        <v>547</v>
      </c>
      <c r="K18" s="509" t="s">
        <v>1</v>
      </c>
      <c r="L18" s="513">
        <v>0.03597222222222222</v>
      </c>
      <c r="M18" s="481">
        <v>925.6826823366748</v>
      </c>
      <c r="N18" s="509" t="s">
        <v>551</v>
      </c>
      <c r="O18" s="509" t="s">
        <v>1</v>
      </c>
      <c r="P18" s="513">
        <v>0.04756944444444444</v>
      </c>
      <c r="Q18" s="546">
        <v>838.6549872845437</v>
      </c>
      <c r="R18" s="509" t="s">
        <v>292</v>
      </c>
      <c r="S18" s="509" t="s">
        <v>1</v>
      </c>
      <c r="T18" s="513">
        <v>0.06010416666666666</v>
      </c>
      <c r="U18" s="481">
        <v>1000</v>
      </c>
      <c r="V18" s="524"/>
      <c r="W18" s="499"/>
      <c r="X18" s="516"/>
      <c r="Y18" s="481"/>
      <c r="Z18" s="509" t="s">
        <v>443</v>
      </c>
      <c r="AA18" s="509" t="s">
        <v>1</v>
      </c>
      <c r="AB18" s="520" t="s">
        <v>358</v>
      </c>
      <c r="AC18" s="546">
        <v>0</v>
      </c>
      <c r="AD18" s="509" t="s">
        <v>443</v>
      </c>
      <c r="AE18" s="509" t="s">
        <v>1</v>
      </c>
      <c r="AF18" s="520">
        <v>0.06722222222222222</v>
      </c>
      <c r="AG18" s="481">
        <v>955.4054054054055</v>
      </c>
      <c r="AH18" s="509" t="s">
        <v>443</v>
      </c>
      <c r="AI18" s="509" t="s">
        <v>1</v>
      </c>
      <c r="AJ18" s="520">
        <v>0.048993055555555554</v>
      </c>
      <c r="AK18" s="481">
        <v>947.3418049792533</v>
      </c>
      <c r="AL18" s="509" t="s">
        <v>625</v>
      </c>
      <c r="AM18" s="509" t="s">
        <v>1</v>
      </c>
      <c r="AN18" s="513">
        <v>0.08416666666666667</v>
      </c>
      <c r="AO18" s="481">
        <v>1007.3356195020128</v>
      </c>
      <c r="AP18" s="509" t="s">
        <v>625</v>
      </c>
      <c r="AQ18" s="509" t="s">
        <v>1</v>
      </c>
      <c r="AR18" s="513">
        <v>0.02332175925925926</v>
      </c>
      <c r="AS18" s="546">
        <v>914.3271461716939</v>
      </c>
      <c r="AT18" s="509" t="s">
        <v>377</v>
      </c>
      <c r="AU18" s="509" t="s">
        <v>1</v>
      </c>
      <c r="AV18" s="513">
        <v>0.02327546296296296</v>
      </c>
      <c r="AW18" s="546">
        <v>824.9094202898553</v>
      </c>
      <c r="AX18" s="509" t="s">
        <v>377</v>
      </c>
      <c r="AY18" s="509" t="s">
        <v>1</v>
      </c>
      <c r="AZ18" s="513">
        <v>0.03606481481481481</v>
      </c>
      <c r="BA18" s="481">
        <v>928.5714285714286</v>
      </c>
      <c r="BB18" s="509" t="s">
        <v>377</v>
      </c>
      <c r="BC18" s="509" t="s">
        <v>1</v>
      </c>
      <c r="BD18" s="513">
        <v>0.05053240740740741</v>
      </c>
      <c r="BE18" s="481">
        <v>931.7278287461774</v>
      </c>
      <c r="BF18" s="509"/>
      <c r="BG18" s="509"/>
      <c r="BH18" s="509"/>
      <c r="BI18" s="481"/>
      <c r="BJ18" s="509" t="s">
        <v>700</v>
      </c>
      <c r="BK18" s="509" t="s">
        <v>1</v>
      </c>
      <c r="BL18" s="513">
        <v>0.010949074074074075</v>
      </c>
      <c r="BM18" s="546">
        <v>888.3666274970623</v>
      </c>
      <c r="BN18" s="509" t="s">
        <v>700</v>
      </c>
      <c r="BO18" s="509" t="s">
        <v>1</v>
      </c>
      <c r="BP18" s="509" t="s">
        <v>358</v>
      </c>
      <c r="BQ18" s="546">
        <v>0</v>
      </c>
      <c r="BR18" s="509" t="s">
        <v>700</v>
      </c>
      <c r="BS18" s="509" t="s">
        <v>1</v>
      </c>
      <c r="BT18" s="513">
        <v>0.03332175925925926</v>
      </c>
      <c r="BU18" s="481">
        <v>989.1151685393259</v>
      </c>
      <c r="BV18" s="509" t="s">
        <v>237</v>
      </c>
      <c r="BW18" s="509" t="s">
        <v>1</v>
      </c>
      <c r="BX18" s="513">
        <v>0.043194444444444445</v>
      </c>
      <c r="BY18" s="546">
        <v>871.2135465663218</v>
      </c>
      <c r="BZ18" s="509" t="s">
        <v>237</v>
      </c>
      <c r="CA18" s="509" t="s">
        <v>1</v>
      </c>
      <c r="CB18" s="513">
        <v>0.08018518518518519</v>
      </c>
      <c r="CC18" s="546">
        <v>914.0854254972285</v>
      </c>
      <c r="CD18" s="509" t="s">
        <v>292</v>
      </c>
      <c r="CE18" s="509" t="s">
        <v>1</v>
      </c>
      <c r="CF18" s="512">
        <v>0.039976851851851854</v>
      </c>
      <c r="CG18" s="481">
        <v>970.8185053380781</v>
      </c>
      <c r="CH18" s="499"/>
      <c r="CI18" s="499"/>
      <c r="CJ18" s="526"/>
      <c r="CK18" s="481"/>
      <c r="CL18" s="499" t="s">
        <v>377</v>
      </c>
      <c r="CM18" s="499" t="s">
        <v>1</v>
      </c>
      <c r="CN18" s="516" t="s">
        <v>685</v>
      </c>
      <c r="CO18" s="546">
        <v>0</v>
      </c>
      <c r="CP18" s="499" t="s">
        <v>839</v>
      </c>
      <c r="CQ18" s="499" t="s">
        <v>1</v>
      </c>
      <c r="CR18" s="513">
        <v>0.03483796296296296</v>
      </c>
      <c r="CS18" s="481">
        <v>964.2119752236753</v>
      </c>
      <c r="CT18" s="499" t="s">
        <v>839</v>
      </c>
      <c r="CU18" s="499" t="s">
        <v>1</v>
      </c>
      <c r="CV18" s="513">
        <v>0.01392361111111111</v>
      </c>
      <c r="CW18" s="481">
        <v>1000</v>
      </c>
      <c r="CX18" s="499" t="s">
        <v>443</v>
      </c>
      <c r="CY18" s="499" t="s">
        <v>1</v>
      </c>
      <c r="CZ18" s="513">
        <v>0.056562499999999995</v>
      </c>
      <c r="DA18" s="546">
        <v>911.096256684492</v>
      </c>
      <c r="DB18" s="499" t="s">
        <v>443</v>
      </c>
      <c r="DC18" s="499" t="s">
        <v>1</v>
      </c>
      <c r="DD18" s="513">
        <v>0.0584837962962963</v>
      </c>
      <c r="DE18" s="546">
        <v>630.9943104849633</v>
      </c>
    </row>
    <row r="19" spans="1:109" ht="12.75">
      <c r="A19" s="504">
        <v>5</v>
      </c>
      <c r="B19" s="505" t="s">
        <v>44</v>
      </c>
      <c r="C19" s="371" t="s">
        <v>10</v>
      </c>
      <c r="D19" s="371" t="s">
        <v>45</v>
      </c>
      <c r="F19" s="548">
        <v>1983</v>
      </c>
      <c r="G19" s="506">
        <f>H19-BY19-BU19-BI19-AW19-AO19-Q19-CG19-DA19-DE19</f>
        <v>11390.832721052882</v>
      </c>
      <c r="H19" s="507">
        <f t="shared" si="0"/>
        <v>18295.296515024416</v>
      </c>
      <c r="I19" s="508">
        <v>21</v>
      </c>
      <c r="J19" s="509" t="s">
        <v>547</v>
      </c>
      <c r="K19" s="509" t="s">
        <v>1</v>
      </c>
      <c r="L19" s="513">
        <v>0.033483796296296296</v>
      </c>
      <c r="M19" s="481">
        <v>1000</v>
      </c>
      <c r="N19" s="509" t="s">
        <v>551</v>
      </c>
      <c r="O19" s="509" t="s">
        <v>1</v>
      </c>
      <c r="P19" s="513">
        <v>0.048726851851851855</v>
      </c>
      <c r="Q19" s="546">
        <v>810.3984176320995</v>
      </c>
      <c r="R19" s="509" t="s">
        <v>292</v>
      </c>
      <c r="S19" s="509" t="s">
        <v>1</v>
      </c>
      <c r="T19" s="513">
        <v>0.06440972222222223</v>
      </c>
      <c r="U19" s="481">
        <v>928.3651068746389</v>
      </c>
      <c r="V19" s="509" t="s">
        <v>292</v>
      </c>
      <c r="W19" s="509" t="s">
        <v>1</v>
      </c>
      <c r="X19" s="513">
        <v>0.05159722222222222</v>
      </c>
      <c r="Y19" s="481">
        <v>936.0381861575182</v>
      </c>
      <c r="Z19" s="509" t="s">
        <v>443</v>
      </c>
      <c r="AA19" s="509" t="s">
        <v>1</v>
      </c>
      <c r="AB19" s="520">
        <v>0.014571759259259258</v>
      </c>
      <c r="AC19" s="481">
        <v>971.0930828351836</v>
      </c>
      <c r="AD19" s="509" t="s">
        <v>443</v>
      </c>
      <c r="AE19" s="509" t="s">
        <v>1</v>
      </c>
      <c r="AF19" s="520">
        <v>0.06815972222222222</v>
      </c>
      <c r="AG19" s="481">
        <v>939.4425675675676</v>
      </c>
      <c r="AH19" s="509" t="s">
        <v>443</v>
      </c>
      <c r="AI19" s="509" t="s">
        <v>1</v>
      </c>
      <c r="AJ19" s="520">
        <v>0.05037037037037037</v>
      </c>
      <c r="AK19" s="481">
        <v>914.9377593360997</v>
      </c>
      <c r="AL19" s="509" t="s">
        <v>625</v>
      </c>
      <c r="AM19" s="509" t="s">
        <v>1</v>
      </c>
      <c r="AN19" s="536" t="s">
        <v>358</v>
      </c>
      <c r="AO19" s="546">
        <v>0</v>
      </c>
      <c r="AP19" s="509" t="s">
        <v>625</v>
      </c>
      <c r="AQ19" s="509" t="s">
        <v>1</v>
      </c>
      <c r="AR19" s="513">
        <v>0.021504629629629627</v>
      </c>
      <c r="AS19" s="481">
        <v>1014.5011600928077</v>
      </c>
      <c r="AT19" s="509" t="s">
        <v>377</v>
      </c>
      <c r="AU19" s="509" t="s">
        <v>1</v>
      </c>
      <c r="AV19" s="513">
        <v>0.02318287037037037</v>
      </c>
      <c r="AW19" s="546">
        <v>829.9818840579711</v>
      </c>
      <c r="AX19" s="509" t="s">
        <v>377</v>
      </c>
      <c r="AY19" s="509" t="s">
        <v>1</v>
      </c>
      <c r="AZ19" s="513">
        <v>0.03653935185185185</v>
      </c>
      <c r="BA19" s="546">
        <v>913.1578947368419</v>
      </c>
      <c r="BB19" s="509" t="s">
        <v>377</v>
      </c>
      <c r="BC19" s="509" t="s">
        <v>1</v>
      </c>
      <c r="BD19" s="513">
        <v>0.048587962962962965</v>
      </c>
      <c r="BE19" s="481">
        <v>976.6819571865443</v>
      </c>
      <c r="BF19" s="509" t="s">
        <v>700</v>
      </c>
      <c r="BG19" s="509" t="s">
        <v>1</v>
      </c>
      <c r="BH19" s="513">
        <v>0.028425925925925924</v>
      </c>
      <c r="BI19" s="546">
        <v>842.6013195098965</v>
      </c>
      <c r="BJ19" s="509" t="s">
        <v>700</v>
      </c>
      <c r="BK19" s="509" t="s">
        <v>1</v>
      </c>
      <c r="BL19" s="513">
        <v>0.010636574074074074</v>
      </c>
      <c r="BM19" s="481">
        <v>920.0940070505288</v>
      </c>
      <c r="BN19" s="509" t="s">
        <v>700</v>
      </c>
      <c r="BO19" s="509" t="s">
        <v>1</v>
      </c>
      <c r="BP19" s="513">
        <v>0.05565972222222223</v>
      </c>
      <c r="BQ19" s="481">
        <v>932.993121810517</v>
      </c>
      <c r="BR19" s="509" t="s">
        <v>700</v>
      </c>
      <c r="BS19" s="509" t="s">
        <v>1</v>
      </c>
      <c r="BT19" s="513">
        <v>0.03722222222222222</v>
      </c>
      <c r="BU19" s="546">
        <v>870.7865168539329</v>
      </c>
      <c r="BV19" s="509" t="s">
        <v>237</v>
      </c>
      <c r="BW19" s="509" t="s">
        <v>1</v>
      </c>
      <c r="BX19" s="513">
        <v>0.041944444444444444</v>
      </c>
      <c r="BY19" s="546">
        <v>906.7732831608656</v>
      </c>
      <c r="BZ19" s="509" t="s">
        <v>237</v>
      </c>
      <c r="CA19" s="509" t="s">
        <v>1</v>
      </c>
      <c r="CB19" s="513">
        <v>0.07819444444444444</v>
      </c>
      <c r="CC19" s="481">
        <v>943.5278774046297</v>
      </c>
      <c r="CD19" s="509" t="s">
        <v>292</v>
      </c>
      <c r="CE19" s="509" t="s">
        <v>1</v>
      </c>
      <c r="CF19" s="513">
        <v>0.04431712962962963</v>
      </c>
      <c r="CG19" s="546">
        <v>837.3665480427046</v>
      </c>
      <c r="CH19" s="499"/>
      <c r="CI19" s="499"/>
      <c r="CJ19" s="516"/>
      <c r="CK19" s="481"/>
      <c r="CL19" s="499"/>
      <c r="CM19" s="499"/>
      <c r="CN19" s="516"/>
      <c r="CO19" s="481"/>
      <c r="CP19" s="499"/>
      <c r="CQ19" s="499"/>
      <c r="CR19" s="526"/>
      <c r="CS19" s="481"/>
      <c r="CT19" s="499"/>
      <c r="CU19" s="499"/>
      <c r="CV19" s="526"/>
      <c r="CW19" s="481"/>
      <c r="CX19" s="499" t="s">
        <v>443</v>
      </c>
      <c r="CY19" s="499" t="s">
        <v>1</v>
      </c>
      <c r="CZ19" s="513">
        <v>0.05741898148148148</v>
      </c>
      <c r="DA19" s="546">
        <v>894.6078431372548</v>
      </c>
      <c r="DB19" s="499" t="s">
        <v>443</v>
      </c>
      <c r="DC19" s="499" t="s">
        <v>1</v>
      </c>
      <c r="DD19" s="513">
        <v>0.046481481481481485</v>
      </c>
      <c r="DE19" s="546">
        <v>911.9479815768084</v>
      </c>
    </row>
    <row r="20" spans="1:109" ht="12.75">
      <c r="A20" s="504">
        <v>6</v>
      </c>
      <c r="B20" s="505" t="s">
        <v>166</v>
      </c>
      <c r="C20" s="371" t="s">
        <v>170</v>
      </c>
      <c r="D20" s="371" t="s">
        <v>171</v>
      </c>
      <c r="F20" s="548">
        <v>1978</v>
      </c>
      <c r="G20" s="506">
        <f>H20</f>
        <v>11306.913806917857</v>
      </c>
      <c r="H20" s="507">
        <f t="shared" si="0"/>
        <v>11306.913806917857</v>
      </c>
      <c r="I20" s="508">
        <v>12</v>
      </c>
      <c r="J20" s="524"/>
      <c r="K20" s="499"/>
      <c r="L20" s="516"/>
      <c r="M20" s="491"/>
      <c r="N20" s="524"/>
      <c r="O20" s="499"/>
      <c r="P20" s="516"/>
      <c r="Q20" s="481"/>
      <c r="R20" s="509" t="s">
        <v>292</v>
      </c>
      <c r="S20" s="509" t="s">
        <v>1</v>
      </c>
      <c r="T20" s="513">
        <v>0.061863425925925926</v>
      </c>
      <c r="U20" s="481">
        <v>970.7298286154438</v>
      </c>
      <c r="V20" s="509" t="s">
        <v>292</v>
      </c>
      <c r="W20" s="509" t="s">
        <v>1</v>
      </c>
      <c r="X20" s="513">
        <v>0.048495370370370376</v>
      </c>
      <c r="Y20" s="481">
        <v>1000</v>
      </c>
      <c r="Z20" s="509" t="s">
        <v>443</v>
      </c>
      <c r="AA20" s="509" t="s">
        <v>1</v>
      </c>
      <c r="AB20" s="520">
        <v>0.014351851851851852</v>
      </c>
      <c r="AC20" s="481">
        <v>988.1298035866781</v>
      </c>
      <c r="AD20" s="509" t="s">
        <v>443</v>
      </c>
      <c r="AE20" s="509" t="s">
        <v>1</v>
      </c>
      <c r="AF20" s="520">
        <v>0.06741898148148148</v>
      </c>
      <c r="AG20" s="481">
        <v>952.0551801801803</v>
      </c>
      <c r="AH20" s="509" t="s">
        <v>443</v>
      </c>
      <c r="AI20" s="509" t="s">
        <v>1</v>
      </c>
      <c r="AJ20" s="520">
        <v>0.048414351851851854</v>
      </c>
      <c r="AK20" s="481">
        <v>960.9569502074688</v>
      </c>
      <c r="AL20" s="524"/>
      <c r="AM20" s="537"/>
      <c r="AN20" s="526"/>
      <c r="AO20" s="481"/>
      <c r="AP20" s="524"/>
      <c r="AQ20" s="524"/>
      <c r="AR20" s="498"/>
      <c r="AS20" s="481"/>
      <c r="AT20" s="509" t="s">
        <v>377</v>
      </c>
      <c r="AU20" s="509" t="s">
        <v>1</v>
      </c>
      <c r="AV20" s="513">
        <v>0.025995370370370367</v>
      </c>
      <c r="AW20" s="481">
        <v>675.9057971014497</v>
      </c>
      <c r="AX20" s="509" t="s">
        <v>377</v>
      </c>
      <c r="AY20" s="509" t="s">
        <v>1</v>
      </c>
      <c r="AZ20" s="513">
        <v>0.035034722222222224</v>
      </c>
      <c r="BA20" s="481">
        <v>962.0300751879697</v>
      </c>
      <c r="BB20" s="509" t="s">
        <v>377</v>
      </c>
      <c r="BC20" s="509" t="s">
        <v>1</v>
      </c>
      <c r="BD20" s="513">
        <v>0.04883101851851852</v>
      </c>
      <c r="BE20" s="481">
        <v>971.0626911314985</v>
      </c>
      <c r="BF20" s="499"/>
      <c r="BG20" s="499"/>
      <c r="BH20" s="516"/>
      <c r="BI20" s="481"/>
      <c r="BJ20" s="499"/>
      <c r="BK20" s="499"/>
      <c r="BL20" s="516"/>
      <c r="BM20" s="481"/>
      <c r="BN20" s="499"/>
      <c r="BO20" s="499"/>
      <c r="BP20" s="526"/>
      <c r="BQ20" s="481"/>
      <c r="BR20" s="499"/>
      <c r="BS20" s="499"/>
      <c r="BT20" s="526"/>
      <c r="BU20" s="481"/>
      <c r="BV20" s="509" t="s">
        <v>237</v>
      </c>
      <c r="BW20" s="509" t="s">
        <v>1</v>
      </c>
      <c r="BX20" s="513">
        <v>0.04016203703703704</v>
      </c>
      <c r="BY20" s="481">
        <v>957.4788334901224</v>
      </c>
      <c r="BZ20" s="509" t="s">
        <v>237</v>
      </c>
      <c r="CA20" s="509" t="s">
        <v>1</v>
      </c>
      <c r="CB20" s="513">
        <v>0.07730324074074074</v>
      </c>
      <c r="CC20" s="481">
        <v>956.708509944571</v>
      </c>
      <c r="CD20" s="499"/>
      <c r="CE20" s="499"/>
      <c r="CF20" s="526"/>
      <c r="CG20" s="481"/>
      <c r="CH20" s="499" t="s">
        <v>377</v>
      </c>
      <c r="CI20" s="499" t="s">
        <v>1</v>
      </c>
      <c r="CJ20" s="525">
        <v>0.0140625</v>
      </c>
      <c r="CK20" s="481">
        <v>934.2105263157894</v>
      </c>
      <c r="CL20" s="499" t="s">
        <v>377</v>
      </c>
      <c r="CM20" s="499" t="s">
        <v>1</v>
      </c>
      <c r="CN20" s="513">
        <v>0.05769675925925926</v>
      </c>
      <c r="CO20" s="481">
        <v>977.6456111566856</v>
      </c>
      <c r="CP20" s="499"/>
      <c r="CQ20" s="499"/>
      <c r="CR20" s="516"/>
      <c r="CS20" s="481"/>
      <c r="CT20" s="499"/>
      <c r="CU20" s="499"/>
      <c r="CV20" s="516"/>
      <c r="CW20" s="481"/>
      <c r="CX20" s="499"/>
      <c r="CY20" s="499"/>
      <c r="CZ20" s="513"/>
      <c r="DA20" s="481"/>
      <c r="DB20" s="499"/>
      <c r="DC20" s="499"/>
      <c r="DD20" s="516"/>
      <c r="DE20" s="481"/>
    </row>
    <row r="21" spans="1:109" ht="12.75">
      <c r="A21" s="504">
        <v>7</v>
      </c>
      <c r="B21" s="505" t="s">
        <v>332</v>
      </c>
      <c r="C21" s="371" t="s">
        <v>187</v>
      </c>
      <c r="D21" s="371" t="s">
        <v>333</v>
      </c>
      <c r="F21" s="548">
        <v>1986</v>
      </c>
      <c r="G21" s="506">
        <f>H21-BQ21-AC21</f>
        <v>11252.912116359637</v>
      </c>
      <c r="H21" s="507">
        <f t="shared" si="0"/>
        <v>11252.912116359637</v>
      </c>
      <c r="I21" s="508">
        <v>14</v>
      </c>
      <c r="J21" s="524"/>
      <c r="K21" s="499"/>
      <c r="M21" s="491"/>
      <c r="N21" s="524"/>
      <c r="O21" s="499"/>
      <c r="Q21" s="491"/>
      <c r="R21" s="509" t="s">
        <v>292</v>
      </c>
      <c r="S21" s="509" t="s">
        <v>1</v>
      </c>
      <c r="T21" s="513">
        <v>0.06347222222222222</v>
      </c>
      <c r="U21" s="481">
        <v>943.9630271519353</v>
      </c>
      <c r="V21" s="524"/>
      <c r="W21" s="499"/>
      <c r="X21" s="516"/>
      <c r="Y21" s="481"/>
      <c r="Z21" s="509" t="s">
        <v>443</v>
      </c>
      <c r="AA21" s="509" t="s">
        <v>1</v>
      </c>
      <c r="AB21" s="520" t="s">
        <v>358</v>
      </c>
      <c r="AC21" s="546">
        <v>0</v>
      </c>
      <c r="AD21" s="509" t="s">
        <v>443</v>
      </c>
      <c r="AE21" s="509" t="s">
        <v>1</v>
      </c>
      <c r="AF21" s="520">
        <v>0.06621527777777779</v>
      </c>
      <c r="AG21" s="481">
        <v>972.5506756756755</v>
      </c>
      <c r="AH21" s="509" t="s">
        <v>443</v>
      </c>
      <c r="AI21" s="509" t="s">
        <v>1</v>
      </c>
      <c r="AJ21" s="520">
        <v>0.04809027777777778</v>
      </c>
      <c r="AK21" s="481">
        <v>968.5814315352699</v>
      </c>
      <c r="AL21" s="509" t="s">
        <v>625</v>
      </c>
      <c r="AM21" s="509" t="s">
        <v>1</v>
      </c>
      <c r="AN21" s="513">
        <v>0.07996527777777777</v>
      </c>
      <c r="AO21" s="481">
        <v>1066.870433875056</v>
      </c>
      <c r="AP21" s="509"/>
      <c r="AQ21" s="509"/>
      <c r="AR21" s="518"/>
      <c r="AS21" s="481"/>
      <c r="AT21" s="509" t="s">
        <v>377</v>
      </c>
      <c r="AU21" s="509" t="s">
        <v>1</v>
      </c>
      <c r="AV21" s="513">
        <v>0.021840277777777778</v>
      </c>
      <c r="AW21" s="481">
        <v>903.5326086956524</v>
      </c>
      <c r="AX21" s="509" t="s">
        <v>377</v>
      </c>
      <c r="AY21" s="509" t="s">
        <v>1</v>
      </c>
      <c r="AZ21" s="513">
        <v>0.033900462962962966</v>
      </c>
      <c r="BA21" s="481">
        <v>998.8721804511275</v>
      </c>
      <c r="BB21" s="509" t="s">
        <v>377</v>
      </c>
      <c r="BC21" s="509" t="s">
        <v>1</v>
      </c>
      <c r="BD21" s="513">
        <v>0.04541666666666667</v>
      </c>
      <c r="BE21" s="481">
        <v>1050</v>
      </c>
      <c r="BF21" s="509" t="s">
        <v>700</v>
      </c>
      <c r="BG21" s="509" t="s">
        <v>1</v>
      </c>
      <c r="BH21" s="513">
        <v>0.024560185185185185</v>
      </c>
      <c r="BI21" s="481">
        <v>1000</v>
      </c>
      <c r="BJ21" s="509" t="s">
        <v>700</v>
      </c>
      <c r="BK21" s="509" t="s">
        <v>1</v>
      </c>
      <c r="BL21" s="513">
        <v>0.013645833333333331</v>
      </c>
      <c r="BM21" s="481">
        <v>614.5710928319626</v>
      </c>
      <c r="BN21" s="509" t="s">
        <v>700</v>
      </c>
      <c r="BO21" s="509" t="s">
        <v>1</v>
      </c>
      <c r="BP21" s="509" t="s">
        <v>358</v>
      </c>
      <c r="BQ21" s="546">
        <v>0</v>
      </c>
      <c r="BR21" s="509" t="s">
        <v>700</v>
      </c>
      <c r="BS21" s="509" t="s">
        <v>1</v>
      </c>
      <c r="BT21" s="513">
        <v>0.033761574074074076</v>
      </c>
      <c r="BU21" s="481">
        <v>975.7724719101124</v>
      </c>
      <c r="BV21" s="509" t="s">
        <v>237</v>
      </c>
      <c r="BW21" s="509" t="s">
        <v>1</v>
      </c>
      <c r="BX21" s="513">
        <v>0.045717592592592594</v>
      </c>
      <c r="BY21" s="481">
        <v>799.4355597365948</v>
      </c>
      <c r="BZ21" s="509" t="s">
        <v>237</v>
      </c>
      <c r="CA21" s="509" t="s">
        <v>1</v>
      </c>
      <c r="CB21" s="513">
        <v>0.07716435185185185</v>
      </c>
      <c r="CC21" s="481">
        <v>958.7626344962505</v>
      </c>
      <c r="CD21" s="499"/>
      <c r="CE21" s="499"/>
      <c r="CF21" s="526"/>
      <c r="CG21" s="481"/>
      <c r="CH21" s="499"/>
      <c r="CI21" s="499"/>
      <c r="CJ21" s="526"/>
      <c r="CK21" s="481"/>
      <c r="CL21" s="499"/>
      <c r="CM21" s="499"/>
      <c r="CN21" s="526"/>
      <c r="CO21" s="481"/>
      <c r="CP21" s="499"/>
      <c r="CQ21" s="499"/>
      <c r="CR21" s="516"/>
      <c r="CS21" s="481"/>
      <c r="CT21" s="499"/>
      <c r="CU21" s="499"/>
      <c r="CV21" s="516"/>
      <c r="CW21" s="481"/>
      <c r="CX21" s="499"/>
      <c r="CY21" s="499"/>
      <c r="CZ21" s="513"/>
      <c r="DA21" s="481"/>
      <c r="DB21" s="499"/>
      <c r="DC21" s="499"/>
      <c r="DD21" s="526"/>
      <c r="DE21" s="481"/>
    </row>
    <row r="22" spans="1:109" ht="12.75">
      <c r="A22" s="504">
        <v>8</v>
      </c>
      <c r="B22" s="505" t="s">
        <v>164</v>
      </c>
      <c r="C22" s="371" t="s">
        <v>10</v>
      </c>
      <c r="D22" s="371" t="s">
        <v>163</v>
      </c>
      <c r="F22" s="548">
        <v>1992</v>
      </c>
      <c r="G22" s="506">
        <f>H22-Q22-AG22-AK22-BM22-BQ22-BA22</f>
        <v>10974.437305955269</v>
      </c>
      <c r="H22" s="507">
        <f t="shared" si="0"/>
        <v>14293.32916992336</v>
      </c>
      <c r="I22" s="508">
        <v>18</v>
      </c>
      <c r="J22" s="509"/>
      <c r="K22" s="509"/>
      <c r="L22" s="509"/>
      <c r="M22" s="502"/>
      <c r="N22" s="509" t="s">
        <v>551</v>
      </c>
      <c r="O22" s="509" t="s">
        <v>1</v>
      </c>
      <c r="P22" s="513">
        <v>0.047673611111111104</v>
      </c>
      <c r="Q22" s="546">
        <v>836.1118960158238</v>
      </c>
      <c r="R22" s="509" t="s">
        <v>292</v>
      </c>
      <c r="S22" s="509" t="s">
        <v>1</v>
      </c>
      <c r="T22" s="513">
        <v>0.06751157407407408</v>
      </c>
      <c r="U22" s="481">
        <v>876.757173117658</v>
      </c>
      <c r="V22" s="509" t="s">
        <v>292</v>
      </c>
      <c r="W22" s="509" t="s">
        <v>1</v>
      </c>
      <c r="X22" s="513">
        <v>0.05101851851851852</v>
      </c>
      <c r="Y22" s="481">
        <v>947.9713603818618</v>
      </c>
      <c r="Z22" s="509" t="s">
        <v>443</v>
      </c>
      <c r="AA22" s="509" t="s">
        <v>1</v>
      </c>
      <c r="AB22" s="520">
        <v>0.015729166666666666</v>
      </c>
      <c r="AC22" s="481">
        <v>881.4261315115288</v>
      </c>
      <c r="AD22" s="509" t="s">
        <v>443</v>
      </c>
      <c r="AE22" s="509" t="s">
        <v>1</v>
      </c>
      <c r="AF22" s="520">
        <v>0.07586805555555555</v>
      </c>
      <c r="AG22" s="546">
        <v>808.1925675675676</v>
      </c>
      <c r="AH22" s="509" t="s">
        <v>443</v>
      </c>
      <c r="AI22" s="509" t="s">
        <v>1</v>
      </c>
      <c r="AJ22" s="501" t="s">
        <v>358</v>
      </c>
      <c r="AK22" s="546">
        <v>0</v>
      </c>
      <c r="AL22" s="509" t="s">
        <v>625</v>
      </c>
      <c r="AM22" s="509" t="s">
        <v>1</v>
      </c>
      <c r="AN22" s="513">
        <v>0.08240740740740742</v>
      </c>
      <c r="AO22" s="481">
        <v>1032.2647979722676</v>
      </c>
      <c r="AP22" s="509" t="s">
        <v>625</v>
      </c>
      <c r="AQ22" s="509" t="s">
        <v>1</v>
      </c>
      <c r="AR22" s="513">
        <v>0.024224537037037034</v>
      </c>
      <c r="AS22" s="481">
        <v>864.5591647331792</v>
      </c>
      <c r="AT22" s="509" t="s">
        <v>377</v>
      </c>
      <c r="AU22" s="509" t="s">
        <v>1</v>
      </c>
      <c r="AV22" s="513">
        <v>0.022349537037037032</v>
      </c>
      <c r="AW22" s="481">
        <v>875.6340579710147</v>
      </c>
      <c r="AX22" s="509" t="s">
        <v>377</v>
      </c>
      <c r="AY22" s="509" t="s">
        <v>1</v>
      </c>
      <c r="AZ22" s="513">
        <v>0.03831018518518518</v>
      </c>
      <c r="BA22" s="546">
        <v>855.6390977443608</v>
      </c>
      <c r="BB22" s="509" t="s">
        <v>377</v>
      </c>
      <c r="BC22" s="509" t="s">
        <v>1</v>
      </c>
      <c r="BD22" s="513">
        <v>0.05221064814814815</v>
      </c>
      <c r="BE22" s="481">
        <v>892.928134556575</v>
      </c>
      <c r="BF22" s="509" t="s">
        <v>700</v>
      </c>
      <c r="BG22" s="509" t="s">
        <v>1</v>
      </c>
      <c r="BH22" s="513">
        <v>0.027395833333333338</v>
      </c>
      <c r="BI22" s="481">
        <v>884.5428840716303</v>
      </c>
      <c r="BJ22" s="509" t="s">
        <v>700</v>
      </c>
      <c r="BK22" s="509" t="s">
        <v>1</v>
      </c>
      <c r="BL22" s="509" t="s">
        <v>358</v>
      </c>
      <c r="BM22" s="546">
        <v>0</v>
      </c>
      <c r="BN22" s="509" t="s">
        <v>700</v>
      </c>
      <c r="BO22" s="509" t="s">
        <v>1</v>
      </c>
      <c r="BP22" s="513">
        <v>0.06160879629629629</v>
      </c>
      <c r="BQ22" s="546">
        <v>818.9483026403375</v>
      </c>
      <c r="BR22" s="509" t="s">
        <v>700</v>
      </c>
      <c r="BS22" s="509" t="s">
        <v>1</v>
      </c>
      <c r="BT22" s="513">
        <v>0.035277777777777776</v>
      </c>
      <c r="BU22" s="481">
        <v>929.7752808988766</v>
      </c>
      <c r="BV22" s="509" t="s">
        <v>237</v>
      </c>
      <c r="BW22" s="509" t="s">
        <v>1</v>
      </c>
      <c r="BX22" s="513">
        <v>0.04055555555555555</v>
      </c>
      <c r="BY22" s="481">
        <v>946.2841015992476</v>
      </c>
      <c r="BZ22" s="509" t="s">
        <v>237</v>
      </c>
      <c r="CA22" s="509" t="s">
        <v>1</v>
      </c>
      <c r="CB22" s="513">
        <v>0.08217592592592593</v>
      </c>
      <c r="CC22" s="481">
        <v>884.642973589827</v>
      </c>
      <c r="CD22" s="509" t="s">
        <v>292</v>
      </c>
      <c r="CE22" s="509" t="s">
        <v>1</v>
      </c>
      <c r="CF22" s="512">
        <v>0.04040509259259259</v>
      </c>
      <c r="CG22" s="481">
        <v>957.6512455516016</v>
      </c>
      <c r="CH22" s="499"/>
      <c r="CI22" s="499"/>
      <c r="CJ22" s="516"/>
      <c r="CK22" s="481"/>
      <c r="CL22" s="499"/>
      <c r="CM22" s="499"/>
      <c r="CN22" s="516"/>
      <c r="CO22" s="481"/>
      <c r="CP22" s="499"/>
      <c r="CQ22" s="499"/>
      <c r="CR22" s="526"/>
      <c r="CS22" s="481"/>
      <c r="CT22" s="499"/>
      <c r="CU22" s="499"/>
      <c r="CV22" s="526"/>
      <c r="CW22" s="481"/>
      <c r="CX22" s="499"/>
      <c r="CY22" s="499"/>
      <c r="CZ22" s="513"/>
      <c r="DA22" s="481"/>
      <c r="DB22" s="499"/>
      <c r="DC22" s="499"/>
      <c r="DD22" s="526"/>
      <c r="DE22" s="481"/>
    </row>
    <row r="23" spans="1:109" ht="12.75">
      <c r="A23" s="504">
        <v>9</v>
      </c>
      <c r="B23" s="505" t="s">
        <v>28</v>
      </c>
      <c r="C23" s="371" t="s">
        <v>10</v>
      </c>
      <c r="D23" s="371" t="s">
        <v>29</v>
      </c>
      <c r="E23" s="495" t="s">
        <v>359</v>
      </c>
      <c r="F23" s="190">
        <v>1997</v>
      </c>
      <c r="G23" s="506">
        <f>H23-AO23-BI23</f>
        <v>10756.362099984632</v>
      </c>
      <c r="H23" s="507">
        <f t="shared" si="0"/>
        <v>12363.589064877191</v>
      </c>
      <c r="I23" s="508">
        <v>14</v>
      </c>
      <c r="J23" s="509" t="s">
        <v>547</v>
      </c>
      <c r="K23" s="509" t="s">
        <v>1</v>
      </c>
      <c r="L23" s="513">
        <v>0.039293981481481485</v>
      </c>
      <c r="M23" s="481">
        <v>826.4777048047009</v>
      </c>
      <c r="N23" s="509"/>
      <c r="O23" s="509"/>
      <c r="P23" s="509"/>
      <c r="Q23" s="481"/>
      <c r="R23" s="524"/>
      <c r="S23" s="499"/>
      <c r="T23" s="516"/>
      <c r="U23" s="481"/>
      <c r="V23" s="524"/>
      <c r="W23" s="499"/>
      <c r="X23" s="516"/>
      <c r="Y23" s="481"/>
      <c r="Z23" s="509" t="s">
        <v>443</v>
      </c>
      <c r="AA23" s="509" t="s">
        <v>1</v>
      </c>
      <c r="AB23" s="520">
        <v>0.016342592592592593</v>
      </c>
      <c r="AC23" s="481">
        <v>833.9026473099914</v>
      </c>
      <c r="AD23" s="509" t="s">
        <v>443</v>
      </c>
      <c r="AE23" s="509" t="s">
        <v>1</v>
      </c>
      <c r="AF23" s="520">
        <v>0.07152777777777779</v>
      </c>
      <c r="AG23" s="481">
        <v>882.0945945945946</v>
      </c>
      <c r="AH23" s="509" t="s">
        <v>443</v>
      </c>
      <c r="AI23" s="509" t="s">
        <v>1</v>
      </c>
      <c r="AJ23" s="520">
        <v>0.049074074074074076</v>
      </c>
      <c r="AK23" s="481">
        <v>945.4356846473029</v>
      </c>
      <c r="AL23" s="509" t="s">
        <v>625</v>
      </c>
      <c r="AM23" s="509" t="s">
        <v>1</v>
      </c>
      <c r="AN23" s="513">
        <v>0.09863425925925927</v>
      </c>
      <c r="AO23" s="546">
        <v>802.3259281347845</v>
      </c>
      <c r="AP23" s="509" t="s">
        <v>625</v>
      </c>
      <c r="AQ23" s="509" t="s">
        <v>1</v>
      </c>
      <c r="AR23" s="513">
        <v>0.023506944444444445</v>
      </c>
      <c r="AS23" s="481">
        <v>904.1183294663574</v>
      </c>
      <c r="AT23" s="509" t="s">
        <v>377</v>
      </c>
      <c r="AU23" s="509" t="s">
        <v>1</v>
      </c>
      <c r="AV23" s="513">
        <v>0.019918981481481482</v>
      </c>
      <c r="AW23" s="481">
        <v>1008.7862318840582</v>
      </c>
      <c r="AX23" s="509" t="s">
        <v>377</v>
      </c>
      <c r="AY23" s="509" t="s">
        <v>1</v>
      </c>
      <c r="AZ23" s="513">
        <v>0.03695601851851852</v>
      </c>
      <c r="BA23" s="481">
        <v>899.6240601503757</v>
      </c>
      <c r="BB23" s="509" t="s">
        <v>377</v>
      </c>
      <c r="BC23" s="509" t="s">
        <v>1</v>
      </c>
      <c r="BD23" s="513">
        <v>0.05121527777777778</v>
      </c>
      <c r="BE23" s="481">
        <v>915.9403669724769</v>
      </c>
      <c r="BF23" s="509" t="s">
        <v>700</v>
      </c>
      <c r="BG23" s="509" t="s">
        <v>1</v>
      </c>
      <c r="BH23" s="513">
        <v>0.02935185185185185</v>
      </c>
      <c r="BI23" s="546">
        <v>804.9010367577758</v>
      </c>
      <c r="BJ23" s="509" t="s">
        <v>700</v>
      </c>
      <c r="BK23" s="509" t="s">
        <v>1</v>
      </c>
      <c r="BL23" s="513">
        <v>0.01105324074074074</v>
      </c>
      <c r="BM23" s="481">
        <v>877.7908343125736</v>
      </c>
      <c r="BN23" s="509" t="s">
        <v>700</v>
      </c>
      <c r="BO23" s="509" t="s">
        <v>1</v>
      </c>
      <c r="BP23" s="513">
        <v>0.06050925925925926</v>
      </c>
      <c r="BQ23" s="481">
        <v>840.0266252496118</v>
      </c>
      <c r="BR23" s="509" t="s">
        <v>700</v>
      </c>
      <c r="BS23" s="509" t="s">
        <v>1</v>
      </c>
      <c r="BT23" s="513">
        <v>0.0375462962962963</v>
      </c>
      <c r="BU23" s="481">
        <v>860.9550561797752</v>
      </c>
      <c r="BV23" s="509"/>
      <c r="BW23" s="509"/>
      <c r="BX23" s="509"/>
      <c r="BY23" s="502"/>
      <c r="BZ23" s="509"/>
      <c r="CA23" s="509"/>
      <c r="CB23" s="509"/>
      <c r="CC23" s="481"/>
      <c r="CD23" s="509" t="s">
        <v>643</v>
      </c>
      <c r="CE23" s="509" t="s">
        <v>1</v>
      </c>
      <c r="CF23" s="512">
        <v>0.04028935185185185</v>
      </c>
      <c r="CG23" s="481">
        <v>961.2099644128116</v>
      </c>
      <c r="CH23" s="499"/>
      <c r="CI23" s="499"/>
      <c r="CJ23" s="516"/>
      <c r="CK23" s="481"/>
      <c r="CL23" s="499"/>
      <c r="CM23" s="499"/>
      <c r="CN23" s="516"/>
      <c r="CO23" s="481"/>
      <c r="CP23" s="499"/>
      <c r="CQ23" s="499"/>
      <c r="CR23" s="516"/>
      <c r="CS23" s="481"/>
      <c r="CT23" s="499"/>
      <c r="CU23" s="499"/>
      <c r="CV23" s="516"/>
      <c r="CW23" s="481"/>
      <c r="CX23" s="499"/>
      <c r="CY23" s="499"/>
      <c r="CZ23" s="513"/>
      <c r="DA23" s="481"/>
      <c r="DB23" s="499"/>
      <c r="DC23" s="499"/>
      <c r="DD23" s="516"/>
      <c r="DE23" s="481"/>
    </row>
    <row r="24" spans="1:109" ht="12.75">
      <c r="A24" s="504">
        <v>10</v>
      </c>
      <c r="B24" s="505" t="s">
        <v>132</v>
      </c>
      <c r="C24" s="371" t="s">
        <v>10</v>
      </c>
      <c r="D24" s="371" t="s">
        <v>356</v>
      </c>
      <c r="F24" s="190">
        <v>1990</v>
      </c>
      <c r="G24" s="506">
        <f>H24-AS24-AW24-AG24-Q24-CG24-M24-BY24-AC24</f>
        <v>10680.47393909694</v>
      </c>
      <c r="H24" s="507">
        <f t="shared" si="0"/>
        <v>14433.531460411337</v>
      </c>
      <c r="I24" s="508">
        <v>21</v>
      </c>
      <c r="J24" s="509" t="s">
        <v>547</v>
      </c>
      <c r="K24" s="509" t="s">
        <v>1</v>
      </c>
      <c r="L24" s="513">
        <v>0.047071759259259265</v>
      </c>
      <c r="M24" s="546">
        <v>594.1928793639819</v>
      </c>
      <c r="N24" s="509" t="s">
        <v>551</v>
      </c>
      <c r="O24" s="509" t="s">
        <v>1</v>
      </c>
      <c r="P24" s="513">
        <v>0.0649537037037037</v>
      </c>
      <c r="Q24" s="546">
        <v>414.2413111048322</v>
      </c>
      <c r="R24" s="524"/>
      <c r="S24" s="499"/>
      <c r="T24" s="516"/>
      <c r="U24" s="481"/>
      <c r="V24" s="524"/>
      <c r="W24" s="499"/>
      <c r="X24" s="516"/>
      <c r="Y24" s="481"/>
      <c r="Z24" s="513" t="s">
        <v>569</v>
      </c>
      <c r="AA24" s="509" t="s">
        <v>158</v>
      </c>
      <c r="AB24" s="513">
        <v>0.013379629629629628</v>
      </c>
      <c r="AC24" s="546">
        <v>663.2041884816756</v>
      </c>
      <c r="AD24" s="513" t="s">
        <v>569</v>
      </c>
      <c r="AE24" s="509" t="s">
        <v>158</v>
      </c>
      <c r="AF24" s="520" t="s">
        <v>358</v>
      </c>
      <c r="AG24" s="546">
        <v>0</v>
      </c>
      <c r="AH24" s="513" t="s">
        <v>569</v>
      </c>
      <c r="AI24" s="509" t="s">
        <v>158</v>
      </c>
      <c r="AJ24" s="538">
        <v>0.04361111111111111</v>
      </c>
      <c r="AK24" s="546">
        <v>703.4125269978404</v>
      </c>
      <c r="AL24" s="509" t="s">
        <v>625</v>
      </c>
      <c r="AM24" s="509" t="s">
        <v>1</v>
      </c>
      <c r="AN24" s="513">
        <v>0.09582175925925925</v>
      </c>
      <c r="AO24" s="481">
        <v>842.1798121365741</v>
      </c>
      <c r="AP24" s="509" t="s">
        <v>625</v>
      </c>
      <c r="AQ24" s="509" t="s">
        <v>1</v>
      </c>
      <c r="AR24" s="513">
        <v>0.029791666666666664</v>
      </c>
      <c r="AS24" s="546">
        <v>557.6566125290027</v>
      </c>
      <c r="AT24" s="509" t="s">
        <v>377</v>
      </c>
      <c r="AU24" s="509" t="s">
        <v>1</v>
      </c>
      <c r="AV24" s="513">
        <v>0.032615740740740744</v>
      </c>
      <c r="AW24" s="546">
        <v>313.22463768115944</v>
      </c>
      <c r="AX24" s="509" t="s">
        <v>377</v>
      </c>
      <c r="AY24" s="509" t="s">
        <v>1</v>
      </c>
      <c r="AZ24" s="513">
        <v>0.04207175925925926</v>
      </c>
      <c r="BA24" s="481">
        <v>733.4586466165412</v>
      </c>
      <c r="BB24" s="509" t="s">
        <v>377</v>
      </c>
      <c r="BC24" s="509" t="s">
        <v>1</v>
      </c>
      <c r="BD24" s="513">
        <v>0.052627314814814814</v>
      </c>
      <c r="BE24" s="481">
        <v>883.2951070336392</v>
      </c>
      <c r="BF24" s="509" t="s">
        <v>700</v>
      </c>
      <c r="BG24" s="509" t="s">
        <v>1</v>
      </c>
      <c r="BH24" s="513">
        <v>0.028946759259259255</v>
      </c>
      <c r="BI24" s="481">
        <v>821.3949104618285</v>
      </c>
      <c r="BJ24" s="509" t="s">
        <v>700</v>
      </c>
      <c r="BK24" s="509" t="s">
        <v>1</v>
      </c>
      <c r="BL24" s="513">
        <v>0.011527777777777777</v>
      </c>
      <c r="BM24" s="481">
        <v>829.6122209165688</v>
      </c>
      <c r="BN24" s="509" t="s">
        <v>700</v>
      </c>
      <c r="BO24" s="509" t="s">
        <v>1</v>
      </c>
      <c r="BP24" s="513">
        <v>0.05740740740740741</v>
      </c>
      <c r="BQ24" s="481">
        <v>899.4896827157756</v>
      </c>
      <c r="BR24" s="509" t="s">
        <v>700</v>
      </c>
      <c r="BS24" s="509" t="s">
        <v>1</v>
      </c>
      <c r="BT24" s="513">
        <v>0.04074074074074074</v>
      </c>
      <c r="BU24" s="481">
        <v>764.0449438202248</v>
      </c>
      <c r="BV24" s="509" t="s">
        <v>237</v>
      </c>
      <c r="BW24" s="509" t="s">
        <v>1</v>
      </c>
      <c r="BX24" s="513">
        <v>0.051319444444444445</v>
      </c>
      <c r="BY24" s="546">
        <v>640.0752587017874</v>
      </c>
      <c r="BZ24" s="509" t="s">
        <v>237</v>
      </c>
      <c r="CA24" s="509" t="s">
        <v>1</v>
      </c>
      <c r="CB24" s="513">
        <v>0.08902777777777778</v>
      </c>
      <c r="CC24" s="481">
        <v>783.306162373655</v>
      </c>
      <c r="CD24" s="509" t="s">
        <v>292</v>
      </c>
      <c r="CE24" s="509" t="s">
        <v>1</v>
      </c>
      <c r="CF24" s="513">
        <v>0.05299768518518518</v>
      </c>
      <c r="CG24" s="546">
        <v>570.4626334519573</v>
      </c>
      <c r="CH24" s="499"/>
      <c r="CI24" s="499"/>
      <c r="CJ24" s="516"/>
      <c r="CK24" s="481"/>
      <c r="CL24" s="499"/>
      <c r="CM24" s="499"/>
      <c r="CN24" s="516"/>
      <c r="CO24" s="481"/>
      <c r="CP24" s="499" t="s">
        <v>839</v>
      </c>
      <c r="CQ24" s="499" t="s">
        <v>1</v>
      </c>
      <c r="CR24" s="513">
        <v>0.035902777777777777</v>
      </c>
      <c r="CS24" s="481">
        <v>932.5533379215416</v>
      </c>
      <c r="CT24" s="499" t="s">
        <v>839</v>
      </c>
      <c r="CU24" s="499" t="s">
        <v>1</v>
      </c>
      <c r="CV24" s="513">
        <v>0.015613425925925926</v>
      </c>
      <c r="CW24" s="481">
        <v>878.6367414796341</v>
      </c>
      <c r="CX24" s="499" t="s">
        <v>443</v>
      </c>
      <c r="CY24" s="499" t="s">
        <v>1</v>
      </c>
      <c r="CZ24" s="513">
        <v>0.060231481481481476</v>
      </c>
      <c r="DA24" s="481">
        <v>840.4634581105169</v>
      </c>
      <c r="DB24" s="499" t="s">
        <v>443</v>
      </c>
      <c r="DC24" s="499" t="s">
        <v>1</v>
      </c>
      <c r="DD24" s="513">
        <v>0.05260416666666667</v>
      </c>
      <c r="DE24" s="481">
        <v>768.6263885125982</v>
      </c>
    </row>
    <row r="25" spans="1:109" ht="12.75">
      <c r="A25" s="504">
        <v>10</v>
      </c>
      <c r="B25" s="505" t="s">
        <v>56</v>
      </c>
      <c r="C25" s="371" t="s">
        <v>10</v>
      </c>
      <c r="D25" s="371" t="s">
        <v>57</v>
      </c>
      <c r="F25" s="548">
        <v>1982</v>
      </c>
      <c r="G25" s="506">
        <f>H25-BY25-BA25-AG25-Q25-AC25-AW25-BU25-DA25-AS25</f>
        <v>10679.945489900021</v>
      </c>
      <c r="H25" s="507">
        <f t="shared" si="0"/>
        <v>17699.078954137578</v>
      </c>
      <c r="I25" s="508">
        <v>21</v>
      </c>
      <c r="J25" s="509" t="s">
        <v>547</v>
      </c>
      <c r="K25" s="509" t="s">
        <v>1</v>
      </c>
      <c r="L25" s="513">
        <v>0.03921296296296296</v>
      </c>
      <c r="M25" s="481">
        <v>828.8973384030418</v>
      </c>
      <c r="N25" s="509" t="s">
        <v>551</v>
      </c>
      <c r="O25" s="509" t="s">
        <v>1</v>
      </c>
      <c r="P25" s="513">
        <v>0.05349537037037037</v>
      </c>
      <c r="Q25" s="546">
        <v>693.9813506640296</v>
      </c>
      <c r="R25" s="524"/>
      <c r="S25" s="499"/>
      <c r="U25" s="481"/>
      <c r="V25" s="524"/>
      <c r="W25" s="499"/>
      <c r="Y25" s="481"/>
      <c r="Z25" s="509" t="s">
        <v>443</v>
      </c>
      <c r="AA25" s="509" t="s">
        <v>1</v>
      </c>
      <c r="AB25" s="520">
        <v>0.01653935185185185</v>
      </c>
      <c r="AC25" s="546">
        <v>818.6592655849703</v>
      </c>
      <c r="AD25" s="509" t="s">
        <v>443</v>
      </c>
      <c r="AE25" s="509" t="s">
        <v>1</v>
      </c>
      <c r="AF25" s="520">
        <v>0.08068287037037036</v>
      </c>
      <c r="AG25" s="546">
        <v>726.2105855855857</v>
      </c>
      <c r="AH25" s="509" t="s">
        <v>443</v>
      </c>
      <c r="AI25" s="509" t="s">
        <v>1</v>
      </c>
      <c r="AJ25" s="520">
        <v>0.0508912037037037</v>
      </c>
      <c r="AK25" s="481">
        <v>902.6841286307055</v>
      </c>
      <c r="AL25" s="509" t="s">
        <v>625</v>
      </c>
      <c r="AM25" s="509" t="s">
        <v>1</v>
      </c>
      <c r="AN25" s="513">
        <v>0.08787037037037038</v>
      </c>
      <c r="AO25" s="481">
        <v>954.8531385120025</v>
      </c>
      <c r="AP25" s="509" t="s">
        <v>625</v>
      </c>
      <c r="AQ25" s="509" t="s">
        <v>1</v>
      </c>
      <c r="AR25" s="513">
        <v>0.024907407407407406</v>
      </c>
      <c r="AS25" s="546">
        <v>826.9141531322509</v>
      </c>
      <c r="AT25" s="509" t="s">
        <v>377</v>
      </c>
      <c r="AU25" s="509" t="s">
        <v>1</v>
      </c>
      <c r="AV25" s="513">
        <v>0.023310185185185187</v>
      </c>
      <c r="AW25" s="546">
        <v>823.0072463768116</v>
      </c>
      <c r="AX25" s="509" t="s">
        <v>377</v>
      </c>
      <c r="AY25" s="509" t="s">
        <v>1</v>
      </c>
      <c r="AZ25" s="513">
        <v>0.0416550925925926</v>
      </c>
      <c r="BA25" s="546">
        <v>746.9924812030073</v>
      </c>
      <c r="BB25" s="509" t="s">
        <v>377</v>
      </c>
      <c r="BC25" s="509" t="s">
        <v>1</v>
      </c>
      <c r="BD25" s="513">
        <v>0.05196759259259259</v>
      </c>
      <c r="BE25" s="481">
        <v>898.5474006116208</v>
      </c>
      <c r="BF25" s="509" t="s">
        <v>700</v>
      </c>
      <c r="BG25" s="509" t="s">
        <v>1</v>
      </c>
      <c r="BH25" s="513">
        <v>0.028344907407407412</v>
      </c>
      <c r="BI25" s="481">
        <v>845.9000942507066</v>
      </c>
      <c r="BJ25" s="509" t="s">
        <v>700</v>
      </c>
      <c r="BK25" s="509" t="s">
        <v>1</v>
      </c>
      <c r="BL25" s="513">
        <v>0.01085648148148148</v>
      </c>
      <c r="BM25" s="481">
        <v>897.7673325499413</v>
      </c>
      <c r="BN25" s="509" t="s">
        <v>700</v>
      </c>
      <c r="BO25" s="509" t="s">
        <v>1</v>
      </c>
      <c r="BP25" s="513">
        <v>0.05564814814814815</v>
      </c>
      <c r="BQ25" s="481">
        <v>933.2149988906147</v>
      </c>
      <c r="BR25" s="509" t="s">
        <v>700</v>
      </c>
      <c r="BS25" s="509" t="s">
        <v>1</v>
      </c>
      <c r="BT25" s="513">
        <v>0.03875</v>
      </c>
      <c r="BU25" s="546">
        <v>824.438202247191</v>
      </c>
      <c r="BV25" s="509" t="s">
        <v>237</v>
      </c>
      <c r="BW25" s="509" t="s">
        <v>1</v>
      </c>
      <c r="BX25" s="513">
        <v>0.047592592592592596</v>
      </c>
      <c r="BY25" s="546">
        <v>746.095954844779</v>
      </c>
      <c r="BZ25" s="509" t="s">
        <v>237</v>
      </c>
      <c r="CA25" s="509" t="s">
        <v>1</v>
      </c>
      <c r="CB25" s="513">
        <v>0.08439814814814815</v>
      </c>
      <c r="CC25" s="481">
        <v>851.7769807629603</v>
      </c>
      <c r="CD25" s="509" t="s">
        <v>292</v>
      </c>
      <c r="CE25" s="509" t="s">
        <v>1</v>
      </c>
      <c r="CF25" s="513">
        <v>0.044085648148148145</v>
      </c>
      <c r="CG25" s="481">
        <v>844.4839857651245</v>
      </c>
      <c r="CH25" s="499"/>
      <c r="CI25" s="499"/>
      <c r="CJ25" s="516"/>
      <c r="CK25" s="481"/>
      <c r="CL25" s="499"/>
      <c r="CM25" s="499"/>
      <c r="CN25" s="516"/>
      <c r="CO25" s="481"/>
      <c r="CP25" s="499" t="s">
        <v>839</v>
      </c>
      <c r="CQ25" s="499" t="s">
        <v>1</v>
      </c>
      <c r="CR25" s="513">
        <v>0.03549768518518519</v>
      </c>
      <c r="CS25" s="481">
        <v>944.5973847212663</v>
      </c>
      <c r="CT25" s="499" t="s">
        <v>839</v>
      </c>
      <c r="CU25" s="499" t="s">
        <v>1</v>
      </c>
      <c r="CV25" s="513">
        <v>0.014988425925925926</v>
      </c>
      <c r="CW25" s="481">
        <v>923.5245220282626</v>
      </c>
      <c r="CX25" s="499" t="s">
        <v>443</v>
      </c>
      <c r="CY25" s="499" t="s">
        <v>1</v>
      </c>
      <c r="CZ25" s="513">
        <v>0.06166666666666667</v>
      </c>
      <c r="DA25" s="546">
        <v>812.8342245989304</v>
      </c>
      <c r="DB25" s="499" t="s">
        <v>443</v>
      </c>
      <c r="DC25" s="499" t="s">
        <v>1</v>
      </c>
      <c r="DD25" s="513">
        <v>0.04896990740740741</v>
      </c>
      <c r="DE25" s="481">
        <v>853.698184773774</v>
      </c>
    </row>
    <row r="26" spans="1:109" ht="12.75">
      <c r="A26" s="504">
        <v>12</v>
      </c>
      <c r="B26" s="505" t="s">
        <v>124</v>
      </c>
      <c r="C26" s="371" t="s">
        <v>95</v>
      </c>
      <c r="D26" s="371" t="s">
        <v>522</v>
      </c>
      <c r="F26" s="548">
        <v>1980</v>
      </c>
      <c r="G26" s="506">
        <f>H26-AC26</f>
        <v>10647.405016815825</v>
      </c>
      <c r="H26" s="507">
        <f t="shared" si="0"/>
        <v>11324.39049930942</v>
      </c>
      <c r="I26" s="508">
        <v>13</v>
      </c>
      <c r="J26" s="524"/>
      <c r="K26" s="499"/>
      <c r="M26" s="481"/>
      <c r="N26" s="524"/>
      <c r="O26" s="499"/>
      <c r="P26" s="516"/>
      <c r="Q26" s="481"/>
      <c r="R26" s="524"/>
      <c r="S26" s="499"/>
      <c r="T26" s="516"/>
      <c r="U26" s="481"/>
      <c r="V26" s="524"/>
      <c r="W26" s="499"/>
      <c r="X26" s="516"/>
      <c r="Y26" s="481"/>
      <c r="Z26" s="509" t="s">
        <v>443</v>
      </c>
      <c r="AA26" s="509" t="s">
        <v>1</v>
      </c>
      <c r="AB26" s="520">
        <v>0.018368055555555554</v>
      </c>
      <c r="AC26" s="546">
        <v>676.9854824935952</v>
      </c>
      <c r="AD26" s="509" t="s">
        <v>443</v>
      </c>
      <c r="AE26" s="509" t="s">
        <v>1</v>
      </c>
      <c r="AF26" s="520">
        <v>0.07716435185185185</v>
      </c>
      <c r="AG26" s="481">
        <v>786.1204954954958</v>
      </c>
      <c r="AH26" s="509" t="s">
        <v>443</v>
      </c>
      <c r="AI26" s="509" t="s">
        <v>1</v>
      </c>
      <c r="AJ26" s="520">
        <v>0.05047453703703703</v>
      </c>
      <c r="AK26" s="481">
        <v>912.4870331950209</v>
      </c>
      <c r="AL26" s="524"/>
      <c r="AM26" s="524"/>
      <c r="AO26" s="481"/>
      <c r="AP26" s="524"/>
      <c r="AQ26" s="468"/>
      <c r="AR26" s="535"/>
      <c r="AS26" s="481"/>
      <c r="AT26" s="509" t="s">
        <v>377</v>
      </c>
      <c r="AU26" s="509" t="s">
        <v>1</v>
      </c>
      <c r="AV26" s="513">
        <v>0.021064814814814814</v>
      </c>
      <c r="AW26" s="481">
        <v>946.0144927536235</v>
      </c>
      <c r="AX26" s="509" t="s">
        <v>377</v>
      </c>
      <c r="AY26" s="509" t="s">
        <v>1</v>
      </c>
      <c r="AZ26" s="513">
        <v>0.03988425925925926</v>
      </c>
      <c r="BA26" s="481">
        <v>804.5112781954886</v>
      </c>
      <c r="BB26" s="509" t="s">
        <v>377</v>
      </c>
      <c r="BC26" s="509" t="s">
        <v>1</v>
      </c>
      <c r="BD26" s="513">
        <v>0.052835648148148145</v>
      </c>
      <c r="BE26" s="481">
        <v>878.4785932721715</v>
      </c>
      <c r="BF26" s="509" t="s">
        <v>700</v>
      </c>
      <c r="BG26" s="509" t="s">
        <v>1</v>
      </c>
      <c r="BH26" s="513">
        <v>0.027129629629629632</v>
      </c>
      <c r="BI26" s="481">
        <v>895.3817153628652</v>
      </c>
      <c r="BJ26" s="509" t="s">
        <v>700</v>
      </c>
      <c r="BK26" s="509" t="s">
        <v>1</v>
      </c>
      <c r="BL26" s="513">
        <v>0.011932870370370371</v>
      </c>
      <c r="BM26" s="481">
        <v>788.4841363102231</v>
      </c>
      <c r="BN26" s="509" t="s">
        <v>700</v>
      </c>
      <c r="BO26" s="509" t="s">
        <v>1</v>
      </c>
      <c r="BP26" s="513">
        <v>0.05393518518518519</v>
      </c>
      <c r="BQ26" s="481">
        <v>966.0528067450633</v>
      </c>
      <c r="BR26" s="509" t="s">
        <v>700</v>
      </c>
      <c r="BS26" s="509" t="s">
        <v>1</v>
      </c>
      <c r="BT26" s="513">
        <v>0.033761574074074076</v>
      </c>
      <c r="BU26" s="481">
        <v>975.7724719101124</v>
      </c>
      <c r="BV26" s="509"/>
      <c r="BW26" s="509"/>
      <c r="BX26" s="509"/>
      <c r="BY26" s="502"/>
      <c r="BZ26" s="509"/>
      <c r="CA26" s="509"/>
      <c r="CB26" s="509"/>
      <c r="CC26" s="481"/>
      <c r="CD26" s="509" t="s">
        <v>292</v>
      </c>
      <c r="CE26" s="509" t="s">
        <v>1</v>
      </c>
      <c r="CF26" s="513">
        <v>0.04383101851851851</v>
      </c>
      <c r="CG26" s="481">
        <v>852.3131672597867</v>
      </c>
      <c r="CH26" s="499"/>
      <c r="CI26" s="499"/>
      <c r="CJ26" s="516"/>
      <c r="CK26" s="481"/>
      <c r="CL26" s="499"/>
      <c r="CM26" s="499"/>
      <c r="CN26" s="516"/>
      <c r="CO26" s="481"/>
      <c r="CP26" s="499"/>
      <c r="CQ26" s="499"/>
      <c r="CR26" s="516"/>
      <c r="CS26" s="481"/>
      <c r="CT26" s="499"/>
      <c r="CU26" s="499"/>
      <c r="CV26" s="516"/>
      <c r="CW26" s="481"/>
      <c r="CX26" s="499" t="s">
        <v>443</v>
      </c>
      <c r="CY26" s="499" t="s">
        <v>1</v>
      </c>
      <c r="CZ26" s="513">
        <v>0.056053240740740744</v>
      </c>
      <c r="DA26" s="481">
        <v>920.9001782531192</v>
      </c>
      <c r="DB26" s="499" t="s">
        <v>443</v>
      </c>
      <c r="DC26" s="499" t="s">
        <v>1</v>
      </c>
      <c r="DD26" s="513">
        <v>0.046099537037037036</v>
      </c>
      <c r="DE26" s="481">
        <v>920.8886480628555</v>
      </c>
    </row>
    <row r="27" spans="1:109" ht="12.75">
      <c r="A27" s="504">
        <v>13</v>
      </c>
      <c r="B27" s="519" t="s">
        <v>66</v>
      </c>
      <c r="C27" s="371" t="s">
        <v>10</v>
      </c>
      <c r="D27" s="371" t="s">
        <v>67</v>
      </c>
      <c r="E27" s="495" t="s">
        <v>359</v>
      </c>
      <c r="F27" s="548">
        <v>1999</v>
      </c>
      <c r="G27" s="506">
        <f>H27-BA27</f>
        <v>9827.08942630303</v>
      </c>
      <c r="H27" s="507">
        <f t="shared" si="0"/>
        <v>10424.081907506037</v>
      </c>
      <c r="I27" s="508">
        <v>13</v>
      </c>
      <c r="J27" s="509" t="s">
        <v>547</v>
      </c>
      <c r="K27" s="509" t="s">
        <v>1</v>
      </c>
      <c r="L27" s="513">
        <v>0.040729166666666664</v>
      </c>
      <c r="M27" s="481">
        <v>783.6156239198065</v>
      </c>
      <c r="N27" s="524"/>
      <c r="O27" s="499"/>
      <c r="P27" s="516"/>
      <c r="Q27" s="481"/>
      <c r="R27" s="524"/>
      <c r="S27" s="499"/>
      <c r="U27" s="481"/>
      <c r="V27" s="524"/>
      <c r="W27" s="499"/>
      <c r="Y27" s="481"/>
      <c r="Z27" s="509" t="s">
        <v>568</v>
      </c>
      <c r="AA27" s="509" t="s">
        <v>2</v>
      </c>
      <c r="AB27" s="513">
        <v>0.01542824074074074</v>
      </c>
      <c r="AC27" s="481">
        <v>645.4382183908045</v>
      </c>
      <c r="AD27" s="509" t="s">
        <v>568</v>
      </c>
      <c r="AE27" s="509" t="s">
        <v>2</v>
      </c>
      <c r="AF27" s="513">
        <v>0.059166666666666666</v>
      </c>
      <c r="AG27" s="481">
        <v>819.6043165467627</v>
      </c>
      <c r="AH27" s="509" t="s">
        <v>568</v>
      </c>
      <c r="AI27" s="509" t="s">
        <v>2</v>
      </c>
      <c r="AJ27" s="513">
        <v>0.04070601851851852</v>
      </c>
      <c r="AK27" s="481">
        <v>799.4670329670331</v>
      </c>
      <c r="AL27" s="509" t="s">
        <v>649</v>
      </c>
      <c r="AM27" s="509" t="s">
        <v>158</v>
      </c>
      <c r="AN27" s="513">
        <v>0.06584490740740741</v>
      </c>
      <c r="AO27" s="481">
        <v>880.0000000000001</v>
      </c>
      <c r="AP27" s="509" t="s">
        <v>649</v>
      </c>
      <c r="AQ27" s="509" t="s">
        <v>2</v>
      </c>
      <c r="AR27" s="513">
        <v>0.02082175925925926</v>
      </c>
      <c r="AS27" s="481">
        <v>784.5717806531117</v>
      </c>
      <c r="AT27" s="509" t="s">
        <v>377</v>
      </c>
      <c r="AU27" s="509" t="s">
        <v>1</v>
      </c>
      <c r="AV27" s="513">
        <v>0.02431712962962963</v>
      </c>
      <c r="AW27" s="481">
        <v>767.8442028985509</v>
      </c>
      <c r="AX27" s="509" t="s">
        <v>377</v>
      </c>
      <c r="AY27" s="509" t="s">
        <v>1</v>
      </c>
      <c r="AZ27" s="513">
        <v>0.04627314814814815</v>
      </c>
      <c r="BA27" s="546">
        <v>596.9924812030074</v>
      </c>
      <c r="BB27" s="509" t="s">
        <v>377</v>
      </c>
      <c r="BC27" s="509" t="s">
        <v>1</v>
      </c>
      <c r="BD27" s="513">
        <v>0.052627314814814814</v>
      </c>
      <c r="BE27" s="481">
        <v>883.2951070336392</v>
      </c>
      <c r="BF27" s="509"/>
      <c r="BG27" s="509"/>
      <c r="BH27" s="509"/>
      <c r="BI27" s="481"/>
      <c r="BJ27" s="509"/>
      <c r="BK27" s="509"/>
      <c r="BL27" s="509"/>
      <c r="BM27" s="481"/>
      <c r="BN27" s="509" t="s">
        <v>700</v>
      </c>
      <c r="BO27" s="509" t="s">
        <v>1</v>
      </c>
      <c r="BP27" s="513">
        <v>0.05390046296296296</v>
      </c>
      <c r="BQ27" s="481">
        <v>966.7184379853562</v>
      </c>
      <c r="BR27" s="509" t="s">
        <v>700</v>
      </c>
      <c r="BS27" s="509" t="s">
        <v>1</v>
      </c>
      <c r="BT27" s="513">
        <v>0.03568287037037037</v>
      </c>
      <c r="BU27" s="481">
        <v>917.4859550561798</v>
      </c>
      <c r="BV27" s="509"/>
      <c r="BW27" s="509"/>
      <c r="BX27" s="509"/>
      <c r="BY27" s="502"/>
      <c r="BZ27" s="509"/>
      <c r="CA27" s="509"/>
      <c r="CB27" s="509"/>
      <c r="CC27" s="481"/>
      <c r="CD27" s="499"/>
      <c r="CE27" s="499"/>
      <c r="CF27" s="526"/>
      <c r="CG27" s="481"/>
      <c r="CH27" s="499"/>
      <c r="CI27" s="499"/>
      <c r="CJ27" s="526"/>
      <c r="CK27" s="481"/>
      <c r="CL27" s="499"/>
      <c r="CM27" s="499"/>
      <c r="CN27" s="526"/>
      <c r="CO27" s="481"/>
      <c r="CP27" s="499"/>
      <c r="CQ27" s="499"/>
      <c r="CR27" s="516"/>
      <c r="CS27" s="481"/>
      <c r="CT27" s="499"/>
      <c r="CU27" s="499"/>
      <c r="CV27" s="516"/>
      <c r="CW27" s="481"/>
      <c r="CX27" s="499" t="s">
        <v>443</v>
      </c>
      <c r="CY27" s="509" t="s">
        <v>1</v>
      </c>
      <c r="CZ27" s="513">
        <v>0.06512731481481482</v>
      </c>
      <c r="DA27" s="481">
        <v>746.2121212121211</v>
      </c>
      <c r="DB27" s="499" t="s">
        <v>443</v>
      </c>
      <c r="DC27" s="509" t="s">
        <v>1</v>
      </c>
      <c r="DD27" s="513">
        <v>0.04986111111111111</v>
      </c>
      <c r="DE27" s="481">
        <v>832.8366296396641</v>
      </c>
    </row>
    <row r="28" spans="1:109" ht="12.75">
      <c r="A28" s="504">
        <v>14</v>
      </c>
      <c r="B28" s="505" t="s">
        <v>58</v>
      </c>
      <c r="C28" s="371" t="s">
        <v>10</v>
      </c>
      <c r="D28" s="371" t="s">
        <v>49</v>
      </c>
      <c r="F28" s="548">
        <v>1986</v>
      </c>
      <c r="G28" s="506">
        <f>H28-AG28</f>
        <v>9788.88343071604</v>
      </c>
      <c r="H28" s="507">
        <f t="shared" si="0"/>
        <v>10457.943115400725</v>
      </c>
      <c r="I28" s="508">
        <v>13</v>
      </c>
      <c r="J28" s="509" t="s">
        <v>547</v>
      </c>
      <c r="K28" s="509" t="s">
        <v>1</v>
      </c>
      <c r="L28" s="513">
        <v>0.03857638888888889</v>
      </c>
      <c r="M28" s="481">
        <v>847.9087452471483</v>
      </c>
      <c r="N28" s="509"/>
      <c r="O28" s="509"/>
      <c r="P28" s="509"/>
      <c r="Q28" s="491"/>
      <c r="R28" s="524"/>
      <c r="S28" s="499"/>
      <c r="U28" s="491"/>
      <c r="V28" s="524"/>
      <c r="W28" s="499"/>
      <c r="Y28" s="491"/>
      <c r="Z28" s="509" t="s">
        <v>443</v>
      </c>
      <c r="AA28" s="509" t="s">
        <v>1</v>
      </c>
      <c r="AB28" s="520">
        <v>0.017141203703703704</v>
      </c>
      <c r="AC28" s="481">
        <v>772.0324508966696</v>
      </c>
      <c r="AD28" s="509" t="s">
        <v>443</v>
      </c>
      <c r="AE28" s="509" t="s">
        <v>1</v>
      </c>
      <c r="AF28" s="520">
        <v>0.08403935185185185</v>
      </c>
      <c r="AG28" s="546">
        <v>669.0596846846847</v>
      </c>
      <c r="AH28" s="509" t="s">
        <v>443</v>
      </c>
      <c r="AI28" s="509" t="s">
        <v>1</v>
      </c>
      <c r="AJ28" s="520">
        <v>0.05293981481481482</v>
      </c>
      <c r="AK28" s="481">
        <v>854.4865145228214</v>
      </c>
      <c r="AL28" s="509" t="s">
        <v>625</v>
      </c>
      <c r="AM28" s="509" t="s">
        <v>1</v>
      </c>
      <c r="AN28" s="513">
        <v>0.10050925925925926</v>
      </c>
      <c r="AO28" s="481">
        <v>775.756672133592</v>
      </c>
      <c r="AP28" s="509" t="s">
        <v>625</v>
      </c>
      <c r="AQ28" s="509" t="s">
        <v>1</v>
      </c>
      <c r="AR28" s="513">
        <v>0.023206018518518515</v>
      </c>
      <c r="AS28" s="481">
        <v>920.7076566125295</v>
      </c>
      <c r="AT28" s="524"/>
      <c r="AU28" s="524"/>
      <c r="AV28" s="526"/>
      <c r="AW28" s="481"/>
      <c r="AX28" s="524"/>
      <c r="AY28" s="524"/>
      <c r="AZ28" s="526"/>
      <c r="BA28" s="481"/>
      <c r="BB28" s="524"/>
      <c r="BC28" s="524"/>
      <c r="BD28" s="516"/>
      <c r="BE28" s="481"/>
      <c r="BF28" s="509" t="s">
        <v>700</v>
      </c>
      <c r="BG28" s="509" t="s">
        <v>1</v>
      </c>
      <c r="BH28" s="513">
        <v>0.02951388888888889</v>
      </c>
      <c r="BI28" s="481">
        <v>798.3034872761546</v>
      </c>
      <c r="BJ28" s="509" t="s">
        <v>700</v>
      </c>
      <c r="BK28" s="509" t="s">
        <v>1</v>
      </c>
      <c r="BL28" s="513">
        <v>0.011782407407407406</v>
      </c>
      <c r="BM28" s="481">
        <v>803.7602820211516</v>
      </c>
      <c r="BN28" s="509" t="s">
        <v>700</v>
      </c>
      <c r="BO28" s="509" t="s">
        <v>1</v>
      </c>
      <c r="BP28" s="513">
        <v>0.06050925925925926</v>
      </c>
      <c r="BQ28" s="481">
        <v>840.0266252496118</v>
      </c>
      <c r="BR28" s="509" t="s">
        <v>700</v>
      </c>
      <c r="BS28" s="509" t="s">
        <v>1</v>
      </c>
      <c r="BT28" s="513">
        <v>0.03895833333333334</v>
      </c>
      <c r="BU28" s="481">
        <v>818.1179775280898</v>
      </c>
      <c r="BV28" s="499"/>
      <c r="BW28" s="499"/>
      <c r="BX28" s="526"/>
      <c r="BY28" s="481"/>
      <c r="BZ28" s="499"/>
      <c r="CA28" s="499"/>
      <c r="CB28" s="526"/>
      <c r="CC28" s="481"/>
      <c r="CD28" s="509" t="s">
        <v>292</v>
      </c>
      <c r="CE28" s="509" t="s">
        <v>1</v>
      </c>
      <c r="CF28" s="513">
        <v>0.04430555555555555</v>
      </c>
      <c r="CG28" s="481">
        <v>837.7224199288256</v>
      </c>
      <c r="CH28" s="499"/>
      <c r="CI28" s="499"/>
      <c r="CJ28" s="526"/>
      <c r="CK28" s="481"/>
      <c r="CL28" s="499"/>
      <c r="CM28" s="499"/>
      <c r="CN28" s="526"/>
      <c r="CO28" s="481"/>
      <c r="CP28" s="499"/>
      <c r="CQ28" s="499"/>
      <c r="CR28" s="520"/>
      <c r="CS28" s="515"/>
      <c r="CT28" s="509"/>
      <c r="CU28" s="509"/>
      <c r="CV28" s="520"/>
      <c r="CW28" s="515"/>
      <c r="CX28" s="499" t="s">
        <v>443</v>
      </c>
      <c r="CY28" s="499" t="s">
        <v>1</v>
      </c>
      <c r="CZ28" s="513">
        <v>0.060648148148148145</v>
      </c>
      <c r="DA28" s="481">
        <v>832.4420677361852</v>
      </c>
      <c r="DB28" s="499" t="s">
        <v>443</v>
      </c>
      <c r="DC28" s="499" t="s">
        <v>1</v>
      </c>
      <c r="DD28" s="526">
        <v>0.05606481481481482</v>
      </c>
      <c r="DE28" s="481">
        <v>687.618531563262</v>
      </c>
    </row>
    <row r="29" spans="1:109" ht="12.75">
      <c r="A29" s="504">
        <v>15</v>
      </c>
      <c r="B29" s="505" t="s">
        <v>78</v>
      </c>
      <c r="C29" s="371" t="s">
        <v>10</v>
      </c>
      <c r="D29" s="371" t="s">
        <v>67</v>
      </c>
      <c r="E29" s="495" t="s">
        <v>360</v>
      </c>
      <c r="F29" s="190">
        <v>1971</v>
      </c>
      <c r="G29" s="506">
        <f>H29-M29-CK29-BQ29-BU29-AO29-BI29</f>
        <v>9648.625873860807</v>
      </c>
      <c r="H29" s="507">
        <f t="shared" si="0"/>
        <v>13502.077286693127</v>
      </c>
      <c r="I29" s="508">
        <v>18</v>
      </c>
      <c r="J29" s="509" t="s">
        <v>547</v>
      </c>
      <c r="K29" s="509" t="s">
        <v>1</v>
      </c>
      <c r="L29" s="513">
        <v>0.04793981481481482</v>
      </c>
      <c r="M29" s="546">
        <v>568.2682336674732</v>
      </c>
      <c r="N29" s="524"/>
      <c r="O29" s="499"/>
      <c r="P29" s="516"/>
      <c r="Q29" s="481"/>
      <c r="R29" s="524"/>
      <c r="S29" s="499"/>
      <c r="T29" s="516"/>
      <c r="U29" s="481"/>
      <c r="V29" s="524"/>
      <c r="W29" s="499"/>
      <c r="X29" s="516"/>
      <c r="Y29" s="481"/>
      <c r="Z29" s="509" t="s">
        <v>396</v>
      </c>
      <c r="AA29" s="509" t="s">
        <v>158</v>
      </c>
      <c r="AB29" s="513">
        <v>0.01105324074074074</v>
      </c>
      <c r="AC29" s="481">
        <v>840</v>
      </c>
      <c r="AD29" s="509" t="s">
        <v>396</v>
      </c>
      <c r="AE29" s="509" t="s">
        <v>158</v>
      </c>
      <c r="AF29" s="513">
        <v>0.05663194444444444</v>
      </c>
      <c r="AG29" s="481">
        <v>840</v>
      </c>
      <c r="AH29" s="509" t="s">
        <v>396</v>
      </c>
      <c r="AI29" s="509" t="s">
        <v>158</v>
      </c>
      <c r="AJ29" s="539">
        <v>0.03751157407407407</v>
      </c>
      <c r="AK29" s="481">
        <v>840</v>
      </c>
      <c r="AL29" s="509" t="s">
        <v>372</v>
      </c>
      <c r="AM29" s="509" t="s">
        <v>158</v>
      </c>
      <c r="AN29" s="513">
        <v>0.08013888888888888</v>
      </c>
      <c r="AO29" s="546">
        <v>688.9646686588153</v>
      </c>
      <c r="AP29" s="509" t="s">
        <v>372</v>
      </c>
      <c r="AQ29" s="509" t="s">
        <v>2</v>
      </c>
      <c r="AR29" s="513">
        <v>0.0218287037037037</v>
      </c>
      <c r="AS29" s="481">
        <v>737.3998767714113</v>
      </c>
      <c r="AT29" s="509" t="s">
        <v>633</v>
      </c>
      <c r="AU29" s="509" t="s">
        <v>2</v>
      </c>
      <c r="AV29" s="513">
        <v>0.02108796296296296</v>
      </c>
      <c r="AW29" s="481">
        <v>764.0933572710954</v>
      </c>
      <c r="AX29" s="509" t="s">
        <v>633</v>
      </c>
      <c r="AY29" s="509" t="s">
        <v>2</v>
      </c>
      <c r="AZ29" s="513">
        <v>0.030358796296296297</v>
      </c>
      <c r="BA29" s="481">
        <v>772.5370675453047</v>
      </c>
      <c r="BB29" s="509" t="s">
        <v>633</v>
      </c>
      <c r="BC29" s="509" t="s">
        <v>2</v>
      </c>
      <c r="BD29" s="513">
        <v>0.03864583333333333</v>
      </c>
      <c r="BE29" s="481">
        <v>840</v>
      </c>
      <c r="BF29" s="509" t="s">
        <v>741</v>
      </c>
      <c r="BG29" s="509" t="s">
        <v>158</v>
      </c>
      <c r="BH29" s="513">
        <v>0.024710648148148148</v>
      </c>
      <c r="BI29" s="546">
        <v>700</v>
      </c>
      <c r="BJ29" s="509" t="s">
        <v>741</v>
      </c>
      <c r="BK29" s="509" t="s">
        <v>158</v>
      </c>
      <c r="BL29" s="513">
        <v>0.011064814814814814</v>
      </c>
      <c r="BM29" s="481">
        <v>700</v>
      </c>
      <c r="BN29" s="509" t="s">
        <v>741</v>
      </c>
      <c r="BO29" s="509" t="s">
        <v>158</v>
      </c>
      <c r="BP29" s="513">
        <v>0.040636574074074075</v>
      </c>
      <c r="BQ29" s="546">
        <v>603.3387358184765</v>
      </c>
      <c r="BR29" s="509" t="s">
        <v>741</v>
      </c>
      <c r="BS29" s="509" t="s">
        <v>158</v>
      </c>
      <c r="BT29" s="513">
        <v>0.026747685185185183</v>
      </c>
      <c r="BU29" s="546">
        <v>627.0903010033445</v>
      </c>
      <c r="BV29" s="499"/>
      <c r="BW29" s="499"/>
      <c r="BX29" s="516"/>
      <c r="BY29" s="481"/>
      <c r="BZ29" s="499"/>
      <c r="CA29" s="499"/>
      <c r="CB29" s="516"/>
      <c r="CC29" s="481"/>
      <c r="CD29" s="509" t="s">
        <v>372</v>
      </c>
      <c r="CE29" s="509" t="s">
        <v>2</v>
      </c>
      <c r="CF29" s="512">
        <v>0.037638888888888895</v>
      </c>
      <c r="CG29" s="481">
        <v>829.6488946684005</v>
      </c>
      <c r="CH29" s="499" t="s">
        <v>377</v>
      </c>
      <c r="CI29" s="499" t="s">
        <v>1</v>
      </c>
      <c r="CJ29" s="513">
        <v>0.017604166666666667</v>
      </c>
      <c r="CK29" s="546">
        <v>665.7894736842105</v>
      </c>
      <c r="CL29" s="499" t="s">
        <v>377</v>
      </c>
      <c r="CM29" s="499" t="s">
        <v>1</v>
      </c>
      <c r="CN29" s="513">
        <v>0.06292824074074074</v>
      </c>
      <c r="CO29" s="481">
        <v>884.9466776045938</v>
      </c>
      <c r="CP29" s="499"/>
      <c r="CQ29" s="499"/>
      <c r="CR29" s="516"/>
      <c r="CS29" s="481"/>
      <c r="CT29" s="499"/>
      <c r="CU29" s="499"/>
      <c r="CV29" s="516"/>
      <c r="CW29" s="481"/>
      <c r="CX29" s="499" t="s">
        <v>396</v>
      </c>
      <c r="CY29" s="499" t="s">
        <v>2</v>
      </c>
      <c r="CZ29" s="513">
        <v>0.04666666666666667</v>
      </c>
      <c r="DA29" s="481">
        <v>800</v>
      </c>
      <c r="DB29" s="499" t="s">
        <v>396</v>
      </c>
      <c r="DC29" s="499" t="s">
        <v>2</v>
      </c>
      <c r="DD29" s="513">
        <v>0.0415162037037037</v>
      </c>
      <c r="DE29" s="481">
        <v>800</v>
      </c>
    </row>
    <row r="30" spans="1:109" ht="12.75">
      <c r="A30" s="504">
        <v>16</v>
      </c>
      <c r="B30" s="505" t="s">
        <v>140</v>
      </c>
      <c r="C30" s="371" t="s">
        <v>10</v>
      </c>
      <c r="D30" s="371" t="s">
        <v>143</v>
      </c>
      <c r="E30" s="495" t="s">
        <v>359</v>
      </c>
      <c r="F30" s="549">
        <v>2001</v>
      </c>
      <c r="G30" s="506">
        <f>H30-BQ30-AC30-BI30-BA30-BU30-AG30</f>
        <v>9508.311193387291</v>
      </c>
      <c r="H30" s="507">
        <f t="shared" si="0"/>
        <v>12560.74845645928</v>
      </c>
      <c r="I30" s="508">
        <v>19</v>
      </c>
      <c r="J30" s="524"/>
      <c r="K30" s="499"/>
      <c r="L30" s="516"/>
      <c r="M30" s="481"/>
      <c r="N30" s="524" t="s">
        <v>0</v>
      </c>
      <c r="O30" s="499" t="s">
        <v>2</v>
      </c>
      <c r="P30" s="516">
        <v>0.04923611111111111</v>
      </c>
      <c r="Q30" s="481">
        <v>800</v>
      </c>
      <c r="R30" s="524"/>
      <c r="S30" s="499"/>
      <c r="U30" s="481"/>
      <c r="V30" s="524"/>
      <c r="W30" s="499"/>
      <c r="Y30" s="481"/>
      <c r="Z30" s="524" t="s">
        <v>578</v>
      </c>
      <c r="AA30" s="499" t="s">
        <v>172</v>
      </c>
      <c r="AB30" s="516" t="s">
        <v>358</v>
      </c>
      <c r="AC30" s="546">
        <v>0</v>
      </c>
      <c r="AD30" s="524" t="s">
        <v>578</v>
      </c>
      <c r="AE30" s="499" t="s">
        <v>172</v>
      </c>
      <c r="AF30" s="516">
        <v>0.05260416666666667</v>
      </c>
      <c r="AG30" s="546">
        <v>661.9267053701017</v>
      </c>
      <c r="AH30" s="524" t="s">
        <v>578</v>
      </c>
      <c r="AI30" s="499" t="s">
        <v>172</v>
      </c>
      <c r="AJ30" s="516">
        <v>0.031261574074074074</v>
      </c>
      <c r="AK30" s="481">
        <v>730.3446348733235</v>
      </c>
      <c r="AL30" s="509" t="s">
        <v>649</v>
      </c>
      <c r="AM30" s="509" t="s">
        <v>158</v>
      </c>
      <c r="AN30" s="513">
        <v>0.0819212962962963</v>
      </c>
      <c r="AO30" s="546">
        <v>665.1432589207243</v>
      </c>
      <c r="AP30" s="509" t="s">
        <v>649</v>
      </c>
      <c r="AQ30" s="509" t="s">
        <v>2</v>
      </c>
      <c r="AR30" s="513">
        <v>0.020671296296296295</v>
      </c>
      <c r="AS30" s="481">
        <v>791.6204559457796</v>
      </c>
      <c r="AT30" s="509" t="s">
        <v>632</v>
      </c>
      <c r="AU30" s="509" t="s">
        <v>2</v>
      </c>
      <c r="AV30" s="513">
        <v>0.022881944444444444</v>
      </c>
      <c r="AW30" s="481">
        <v>686.1759425493717</v>
      </c>
      <c r="AX30" s="509" t="s">
        <v>632</v>
      </c>
      <c r="AY30" s="509" t="s">
        <v>2</v>
      </c>
      <c r="AZ30" s="513">
        <v>0.03575231481481481</v>
      </c>
      <c r="BA30" s="546">
        <v>611.3179571663921</v>
      </c>
      <c r="BB30" s="509" t="s">
        <v>632</v>
      </c>
      <c r="BC30" s="509" t="s">
        <v>2</v>
      </c>
      <c r="BD30" s="513">
        <v>0.04230324074074074</v>
      </c>
      <c r="BE30" s="481">
        <v>760.503144654088</v>
      </c>
      <c r="BF30" s="509" t="s">
        <v>739</v>
      </c>
      <c r="BG30" s="509" t="s">
        <v>158</v>
      </c>
      <c r="BH30" s="513">
        <v>0.027407407407407408</v>
      </c>
      <c r="BI30" s="546">
        <v>623.6065573770492</v>
      </c>
      <c r="BJ30" s="509" t="s">
        <v>739</v>
      </c>
      <c r="BK30" s="509" t="s">
        <v>158</v>
      </c>
      <c r="BL30" s="513">
        <v>0.011319444444444444</v>
      </c>
      <c r="BM30" s="481">
        <v>683.8912133891212</v>
      </c>
      <c r="BN30" s="509" t="s">
        <v>739</v>
      </c>
      <c r="BO30" s="509" t="s">
        <v>158</v>
      </c>
      <c r="BP30" s="513">
        <v>0.04435185185185186</v>
      </c>
      <c r="BQ30" s="546">
        <v>530.5024311183142</v>
      </c>
      <c r="BR30" s="509" t="s">
        <v>739</v>
      </c>
      <c r="BS30" s="509" t="s">
        <v>158</v>
      </c>
      <c r="BT30" s="513">
        <v>0.02681712962962963</v>
      </c>
      <c r="BU30" s="546">
        <v>625.0836120401336</v>
      </c>
      <c r="BV30" s="509"/>
      <c r="BW30" s="509"/>
      <c r="BX30" s="509"/>
      <c r="BY30" s="502"/>
      <c r="BZ30" s="509"/>
      <c r="CA30" s="509"/>
      <c r="CB30" s="509"/>
      <c r="CC30" s="481"/>
      <c r="CD30" s="509" t="s">
        <v>649</v>
      </c>
      <c r="CE30" s="509" t="s">
        <v>2</v>
      </c>
      <c r="CF30" s="513">
        <v>0.0421412037037037</v>
      </c>
      <c r="CG30" s="481">
        <v>718.3615084525359</v>
      </c>
      <c r="CH30" s="499" t="s">
        <v>632</v>
      </c>
      <c r="CI30" s="499" t="s">
        <v>2</v>
      </c>
      <c r="CJ30" s="513">
        <v>0.01119212962962963</v>
      </c>
      <c r="CK30" s="481">
        <v>677.9499404052442</v>
      </c>
      <c r="CL30" s="499" t="s">
        <v>632</v>
      </c>
      <c r="CM30" s="499" t="s">
        <v>2</v>
      </c>
      <c r="CN30" s="513">
        <v>0.04412037037037037</v>
      </c>
      <c r="CO30" s="481">
        <v>738.0440927077444</v>
      </c>
      <c r="CP30" s="499"/>
      <c r="CQ30" s="499"/>
      <c r="CR30" s="509"/>
      <c r="CS30" s="481"/>
      <c r="CT30" s="499" t="s">
        <v>839</v>
      </c>
      <c r="CU30" s="499" t="s">
        <v>1</v>
      </c>
      <c r="CV30" s="513">
        <v>0.016493055555555556</v>
      </c>
      <c r="CW30" s="481">
        <v>815.4613466334164</v>
      </c>
      <c r="CX30" s="499" t="s">
        <v>871</v>
      </c>
      <c r="CY30" s="499" t="s">
        <v>2</v>
      </c>
      <c r="CZ30" s="513">
        <v>0.05130787037037037</v>
      </c>
      <c r="DA30" s="481">
        <v>720.436507936508</v>
      </c>
      <c r="DB30" s="499" t="s">
        <v>871</v>
      </c>
      <c r="DC30" s="499" t="s">
        <v>2</v>
      </c>
      <c r="DD30" s="513">
        <v>0.04564814814814815</v>
      </c>
      <c r="DE30" s="481">
        <v>720.379146919431</v>
      </c>
    </row>
    <row r="31" spans="1:109" ht="12.75">
      <c r="A31" s="504">
        <v>17</v>
      </c>
      <c r="B31" s="505" t="s">
        <v>46</v>
      </c>
      <c r="C31" s="371" t="s">
        <v>10</v>
      </c>
      <c r="D31" s="371" t="s">
        <v>47</v>
      </c>
      <c r="E31" s="495" t="s">
        <v>360</v>
      </c>
      <c r="F31" s="548">
        <v>1968</v>
      </c>
      <c r="G31" s="506">
        <f>H31-BI31-BU31-BQ31</f>
        <v>9065.091275508683</v>
      </c>
      <c r="H31" s="507">
        <f t="shared" si="0"/>
        <v>10839.738384580796</v>
      </c>
      <c r="I31" s="508">
        <v>15</v>
      </c>
      <c r="J31" s="509" t="s">
        <v>547</v>
      </c>
      <c r="K31" s="509" t="s">
        <v>1</v>
      </c>
      <c r="L31" s="513">
        <v>0.04128472222222222</v>
      </c>
      <c r="M31" s="481">
        <v>767.0238506740408</v>
      </c>
      <c r="N31" s="509"/>
      <c r="O31" s="509"/>
      <c r="P31" s="509"/>
      <c r="Q31" s="491"/>
      <c r="R31" s="524"/>
      <c r="S31" s="499"/>
      <c r="T31" s="516"/>
      <c r="U31" s="481"/>
      <c r="V31" s="524"/>
      <c r="W31" s="499"/>
      <c r="X31" s="516"/>
      <c r="Y31" s="481"/>
      <c r="Z31" s="509" t="s">
        <v>443</v>
      </c>
      <c r="AA31" s="509" t="s">
        <v>1</v>
      </c>
      <c r="AB31" s="520">
        <v>0.018761574074074073</v>
      </c>
      <c r="AC31" s="481">
        <v>646.4987190435526</v>
      </c>
      <c r="AD31" s="509" t="s">
        <v>443</v>
      </c>
      <c r="AE31" s="509" t="s">
        <v>1</v>
      </c>
      <c r="AF31" s="520">
        <v>0.07957175925925926</v>
      </c>
      <c r="AG31" s="481">
        <v>745.1295045045047</v>
      </c>
      <c r="AH31" s="509" t="s">
        <v>443</v>
      </c>
      <c r="AI31" s="509" t="s">
        <v>1</v>
      </c>
      <c r="AJ31" s="520">
        <v>0.05792824074074074</v>
      </c>
      <c r="AK31" s="481">
        <v>737.1239626556019</v>
      </c>
      <c r="AL31" s="509" t="s">
        <v>372</v>
      </c>
      <c r="AM31" s="509" t="s">
        <v>158</v>
      </c>
      <c r="AN31" s="513">
        <v>0.07872685185185185</v>
      </c>
      <c r="AO31" s="481">
        <v>707.8361750747056</v>
      </c>
      <c r="AP31" s="509" t="s">
        <v>372</v>
      </c>
      <c r="AQ31" s="509" t="s">
        <v>2</v>
      </c>
      <c r="AR31" s="513">
        <v>0.022141203703703705</v>
      </c>
      <c r="AS31" s="481">
        <v>722.7603203943316</v>
      </c>
      <c r="AT31" s="524"/>
      <c r="AU31" s="524"/>
      <c r="AV31" s="516"/>
      <c r="AW31" s="481"/>
      <c r="AX31" s="524"/>
      <c r="AY31" s="524"/>
      <c r="AZ31" s="526"/>
      <c r="BA31" s="481"/>
      <c r="BB31" s="524"/>
      <c r="BC31" s="524"/>
      <c r="BD31" s="516"/>
      <c r="BE31" s="481"/>
      <c r="BF31" s="509" t="s">
        <v>741</v>
      </c>
      <c r="BG31" s="509" t="s">
        <v>158</v>
      </c>
      <c r="BH31" s="513">
        <v>0.0290162037037037</v>
      </c>
      <c r="BI31" s="546">
        <v>578.032786885246</v>
      </c>
      <c r="BJ31" s="509" t="s">
        <v>741</v>
      </c>
      <c r="BK31" s="509" t="s">
        <v>158</v>
      </c>
      <c r="BL31" s="513">
        <v>0.011736111111111109</v>
      </c>
      <c r="BM31" s="481">
        <v>657.5313807531383</v>
      </c>
      <c r="BN31" s="509" t="s">
        <v>741</v>
      </c>
      <c r="BO31" s="509" t="s">
        <v>158</v>
      </c>
      <c r="BP31" s="513">
        <v>0.04074074074074074</v>
      </c>
      <c r="BQ31" s="546">
        <v>601.2965964343599</v>
      </c>
      <c r="BR31" s="509" t="s">
        <v>741</v>
      </c>
      <c r="BS31" s="509" t="s">
        <v>158</v>
      </c>
      <c r="BT31" s="513">
        <v>0.02784722222222222</v>
      </c>
      <c r="BU31" s="546">
        <v>595.3177257525083</v>
      </c>
      <c r="BV31" s="499"/>
      <c r="BW31" s="499"/>
      <c r="BX31" s="516"/>
      <c r="BY31" s="481"/>
      <c r="BZ31" s="499"/>
      <c r="CA31" s="499"/>
      <c r="CB31" s="526"/>
      <c r="CC31" s="481"/>
      <c r="CD31" s="509" t="s">
        <v>292</v>
      </c>
      <c r="CE31" s="509" t="s">
        <v>1</v>
      </c>
      <c r="CF31" s="513">
        <v>0.04366898148148148</v>
      </c>
      <c r="CG31" s="481">
        <v>857.2953736654803</v>
      </c>
      <c r="CH31" s="499"/>
      <c r="CI31" s="499"/>
      <c r="CJ31" s="526"/>
      <c r="CK31" s="481"/>
      <c r="CL31" s="499"/>
      <c r="CM31" s="499"/>
      <c r="CN31" s="526"/>
      <c r="CO31" s="481"/>
      <c r="CP31" s="499" t="s">
        <v>839</v>
      </c>
      <c r="CQ31" s="499" t="s">
        <v>1</v>
      </c>
      <c r="CR31" s="513">
        <v>0.03501157407407408</v>
      </c>
      <c r="CS31" s="481">
        <v>959.0502408809358</v>
      </c>
      <c r="CT31" s="499" t="s">
        <v>839</v>
      </c>
      <c r="CU31" s="499" t="s">
        <v>1</v>
      </c>
      <c r="CV31" s="513">
        <v>0.016875</v>
      </c>
      <c r="CW31" s="481">
        <v>788.0299251870322</v>
      </c>
      <c r="CX31" s="499" t="s">
        <v>396</v>
      </c>
      <c r="CY31" s="499" t="s">
        <v>2</v>
      </c>
      <c r="CZ31" s="513">
        <v>0.05376157407407408</v>
      </c>
      <c r="DA31" s="481">
        <v>678.3730158730158</v>
      </c>
      <c r="DB31" s="499" t="s">
        <v>396</v>
      </c>
      <c r="DC31" s="499" t="s">
        <v>2</v>
      </c>
      <c r="DD31" s="513">
        <v>0.04159722222222222</v>
      </c>
      <c r="DE31" s="481">
        <v>798.4388068023417</v>
      </c>
    </row>
    <row r="32" spans="1:109" ht="12.75">
      <c r="A32" s="504">
        <v>18</v>
      </c>
      <c r="B32" s="505" t="s">
        <v>60</v>
      </c>
      <c r="C32" s="371" t="s">
        <v>10</v>
      </c>
      <c r="D32" s="371" t="s">
        <v>21</v>
      </c>
      <c r="F32" s="548">
        <v>1996</v>
      </c>
      <c r="G32" s="506">
        <f>H32</f>
        <v>8997.422656076855</v>
      </c>
      <c r="H32" s="507">
        <f t="shared" si="0"/>
        <v>8997.422656076855</v>
      </c>
      <c r="I32" s="508">
        <v>12</v>
      </c>
      <c r="J32" s="509" t="s">
        <v>547</v>
      </c>
      <c r="K32" s="509" t="s">
        <v>1</v>
      </c>
      <c r="L32" s="513">
        <v>0.0408912037037037</v>
      </c>
      <c r="M32" s="481">
        <v>778.776356723125</v>
      </c>
      <c r="N32" s="524"/>
      <c r="O32" s="499"/>
      <c r="Q32" s="491"/>
      <c r="R32" s="524"/>
      <c r="S32" s="499"/>
      <c r="T32" s="516"/>
      <c r="U32" s="481"/>
      <c r="V32" s="524"/>
      <c r="W32" s="499"/>
      <c r="X32" s="516"/>
      <c r="Y32" s="481"/>
      <c r="Z32" s="509" t="s">
        <v>443</v>
      </c>
      <c r="AA32" s="509" t="s">
        <v>1</v>
      </c>
      <c r="AB32" s="520">
        <v>0.018483796296296297</v>
      </c>
      <c r="AC32" s="481">
        <v>668.0187873612296</v>
      </c>
      <c r="AD32" s="509" t="s">
        <v>443</v>
      </c>
      <c r="AE32" s="509" t="s">
        <v>1</v>
      </c>
      <c r="AF32" s="520">
        <v>0.08548611111111111</v>
      </c>
      <c r="AG32" s="481">
        <v>644.4256756756757</v>
      </c>
      <c r="AH32" s="509" t="s">
        <v>443</v>
      </c>
      <c r="AI32" s="509" t="s">
        <v>1</v>
      </c>
      <c r="AJ32" s="520">
        <v>0.05287037037037037</v>
      </c>
      <c r="AK32" s="481">
        <v>856.1203319502075</v>
      </c>
      <c r="AL32" s="524"/>
      <c r="AM32" s="537"/>
      <c r="AN32" s="516"/>
      <c r="AO32" s="481"/>
      <c r="AP32" s="509" t="s">
        <v>625</v>
      </c>
      <c r="AQ32" s="509" t="s">
        <v>1</v>
      </c>
      <c r="AR32" s="513">
        <v>0.021967592592592594</v>
      </c>
      <c r="AS32" s="481">
        <v>988.9791183294666</v>
      </c>
      <c r="AT32" s="499"/>
      <c r="AU32" s="499"/>
      <c r="AV32" s="526"/>
      <c r="AW32" s="481"/>
      <c r="AX32" s="499"/>
      <c r="AY32" s="499"/>
      <c r="AZ32" s="526"/>
      <c r="BA32" s="481"/>
      <c r="BB32" s="499"/>
      <c r="BC32" s="499"/>
      <c r="BD32" s="516"/>
      <c r="BE32" s="481"/>
      <c r="BF32" s="509" t="s">
        <v>700</v>
      </c>
      <c r="BG32" s="509" t="s">
        <v>1</v>
      </c>
      <c r="BH32" s="513">
        <v>0.028958333333333336</v>
      </c>
      <c r="BI32" s="481">
        <v>820.9236569274267</v>
      </c>
      <c r="BJ32" s="509" t="s">
        <v>700</v>
      </c>
      <c r="BK32" s="509" t="s">
        <v>1</v>
      </c>
      <c r="BL32" s="509" t="s">
        <v>358</v>
      </c>
      <c r="BM32" s="481">
        <v>0</v>
      </c>
      <c r="BN32" s="509" t="s">
        <v>700</v>
      </c>
      <c r="BO32" s="509" t="s">
        <v>1</v>
      </c>
      <c r="BP32" s="513">
        <v>0.056805555555555554</v>
      </c>
      <c r="BQ32" s="481">
        <v>911.0272908808521</v>
      </c>
      <c r="BR32" s="509" t="s">
        <v>700</v>
      </c>
      <c r="BS32" s="509" t="s">
        <v>1</v>
      </c>
      <c r="BT32" s="513">
        <v>0.03878472222222223</v>
      </c>
      <c r="BU32" s="481">
        <v>823.384831460674</v>
      </c>
      <c r="BV32" s="499"/>
      <c r="BW32" s="499"/>
      <c r="BX32" s="516"/>
      <c r="BY32" s="481"/>
      <c r="BZ32" s="499"/>
      <c r="CA32" s="499"/>
      <c r="CB32" s="516"/>
      <c r="CC32" s="481"/>
      <c r="CD32" s="509" t="s">
        <v>292</v>
      </c>
      <c r="CE32" s="509" t="s">
        <v>1</v>
      </c>
      <c r="CF32" s="513">
        <v>0.04431712962962963</v>
      </c>
      <c r="CG32" s="481">
        <v>837.3665480427046</v>
      </c>
      <c r="CH32" s="499"/>
      <c r="CI32" s="499"/>
      <c r="CJ32" s="526"/>
      <c r="CK32" s="481"/>
      <c r="CL32" s="499"/>
      <c r="CM32" s="499"/>
      <c r="CN32" s="526"/>
      <c r="CO32" s="481"/>
      <c r="CP32" s="499"/>
      <c r="CQ32" s="499"/>
      <c r="CR32" s="520"/>
      <c r="CS32" s="515"/>
      <c r="CT32" s="509"/>
      <c r="CU32" s="509"/>
      <c r="CV32" s="520"/>
      <c r="CW32" s="515"/>
      <c r="CX32" s="499" t="s">
        <v>443</v>
      </c>
      <c r="CY32" s="499" t="s">
        <v>1</v>
      </c>
      <c r="CZ32" s="513">
        <v>0.058726851851851856</v>
      </c>
      <c r="DA32" s="481">
        <v>869.429590017825</v>
      </c>
      <c r="DB32" s="499" t="s">
        <v>443</v>
      </c>
      <c r="DC32" s="499" t="s">
        <v>1</v>
      </c>
      <c r="DD32" s="513">
        <v>0.05130787037037037</v>
      </c>
      <c r="DE32" s="481">
        <v>798.9704687076674</v>
      </c>
    </row>
    <row r="33" spans="1:109" ht="12.75">
      <c r="A33" s="504">
        <v>19</v>
      </c>
      <c r="B33" s="505" t="s">
        <v>637</v>
      </c>
      <c r="C33" s="371" t="s">
        <v>131</v>
      </c>
      <c r="D33" s="371" t="s">
        <v>638</v>
      </c>
      <c r="F33" s="548">
        <v>1982</v>
      </c>
      <c r="G33" s="506">
        <f>H33</f>
        <v>8648.790109465519</v>
      </c>
      <c r="H33" s="507">
        <f t="shared" si="0"/>
        <v>8648.790109465519</v>
      </c>
      <c r="I33" s="508">
        <v>12</v>
      </c>
      <c r="J33" s="509"/>
      <c r="K33" s="509"/>
      <c r="L33" s="513"/>
      <c r="M33" s="481"/>
      <c r="N33" s="524"/>
      <c r="O33" s="499"/>
      <c r="Q33" s="491"/>
      <c r="R33" s="524"/>
      <c r="S33" s="499"/>
      <c r="T33" s="516"/>
      <c r="U33" s="481"/>
      <c r="V33" s="524"/>
      <c r="W33" s="499"/>
      <c r="X33" s="516"/>
      <c r="Y33" s="481"/>
      <c r="Z33" s="509"/>
      <c r="AA33" s="509"/>
      <c r="AB33" s="520"/>
      <c r="AC33" s="481"/>
      <c r="AD33" s="509"/>
      <c r="AE33" s="509"/>
      <c r="AF33" s="520"/>
      <c r="AG33" s="481"/>
      <c r="AH33" s="509"/>
      <c r="AI33" s="509"/>
      <c r="AJ33" s="520"/>
      <c r="AK33" s="481"/>
      <c r="AL33" s="509" t="s">
        <v>625</v>
      </c>
      <c r="AM33" s="509" t="s">
        <v>1</v>
      </c>
      <c r="AN33" s="513">
        <v>0.09344907407407409</v>
      </c>
      <c r="AO33" s="481">
        <v>875.8014015207991</v>
      </c>
      <c r="AP33" s="509" t="s">
        <v>625</v>
      </c>
      <c r="AQ33" s="509" t="s">
        <v>1</v>
      </c>
      <c r="AR33" s="518" t="s">
        <v>358</v>
      </c>
      <c r="AS33" s="481">
        <v>0</v>
      </c>
      <c r="AT33" s="509" t="s">
        <v>377</v>
      </c>
      <c r="AU33" s="509" t="s">
        <v>1</v>
      </c>
      <c r="AV33" s="513">
        <v>0.024652777777777777</v>
      </c>
      <c r="AW33" s="481">
        <v>749.4565217391307</v>
      </c>
      <c r="AX33" s="509" t="s">
        <v>377</v>
      </c>
      <c r="AY33" s="509" t="s">
        <v>1</v>
      </c>
      <c r="AZ33" s="513">
        <v>0.03836805555555555</v>
      </c>
      <c r="BA33" s="481">
        <v>853.7593984962406</v>
      </c>
      <c r="BB33" s="509" t="s">
        <v>377</v>
      </c>
      <c r="BC33" s="509" t="s">
        <v>1</v>
      </c>
      <c r="BD33" s="513">
        <v>0.04677083333333334</v>
      </c>
      <c r="BE33" s="481">
        <v>1018.6926605504589</v>
      </c>
      <c r="BF33" s="499"/>
      <c r="BG33" s="499"/>
      <c r="BH33" s="526"/>
      <c r="BI33" s="481"/>
      <c r="BJ33" s="499"/>
      <c r="BK33" s="499"/>
      <c r="BL33" s="516"/>
      <c r="BM33" s="481"/>
      <c r="BN33" s="499"/>
      <c r="BO33" s="499"/>
      <c r="BP33" s="516"/>
      <c r="BQ33" s="481"/>
      <c r="BR33" s="499"/>
      <c r="BS33" s="499"/>
      <c r="BT33" s="516"/>
      <c r="BU33" s="481"/>
      <c r="BV33" s="509" t="s">
        <v>237</v>
      </c>
      <c r="BW33" s="509" t="s">
        <v>1</v>
      </c>
      <c r="BX33" s="513">
        <v>0.049247685185185186</v>
      </c>
      <c r="BY33" s="481">
        <v>699.0122295390406</v>
      </c>
      <c r="BZ33" s="509" t="s">
        <v>237</v>
      </c>
      <c r="CA33" s="509" t="s">
        <v>1</v>
      </c>
      <c r="CB33" s="513">
        <v>0.08094907407407408</v>
      </c>
      <c r="CC33" s="481">
        <v>902.7877404629929</v>
      </c>
      <c r="CD33" s="509" t="s">
        <v>292</v>
      </c>
      <c r="CE33" s="509" t="s">
        <v>1</v>
      </c>
      <c r="CF33" s="513">
        <v>0.04261574074074074</v>
      </c>
      <c r="CG33" s="481">
        <v>889.6797153024911</v>
      </c>
      <c r="CH33" s="499"/>
      <c r="CI33" s="499"/>
      <c r="CJ33" s="516"/>
      <c r="CK33" s="481"/>
      <c r="CL33" s="499"/>
      <c r="CM33" s="499"/>
      <c r="CN33" s="516"/>
      <c r="CO33" s="481"/>
      <c r="CP33" s="499" t="s">
        <v>839</v>
      </c>
      <c r="CQ33" s="499" t="s">
        <v>1</v>
      </c>
      <c r="CR33" s="513">
        <v>0.03363425925925926</v>
      </c>
      <c r="CS33" s="481">
        <v>1000</v>
      </c>
      <c r="CT33" s="499" t="s">
        <v>839</v>
      </c>
      <c r="CU33" s="499" t="s">
        <v>1</v>
      </c>
      <c r="CV33" s="513">
        <v>0.016041666666666666</v>
      </c>
      <c r="CW33" s="481">
        <v>847.8802992518704</v>
      </c>
      <c r="CX33" s="499" t="s">
        <v>443</v>
      </c>
      <c r="CY33" s="499" t="s">
        <v>1</v>
      </c>
      <c r="CZ33" s="513">
        <v>0.061724537037037036</v>
      </c>
      <c r="DA33" s="481">
        <v>811.7201426024953</v>
      </c>
      <c r="DB33" s="499" t="s">
        <v>443</v>
      </c>
      <c r="DC33" s="499" t="s">
        <v>1</v>
      </c>
      <c r="DD33" s="513" t="s">
        <v>358</v>
      </c>
      <c r="DE33" s="481">
        <v>0</v>
      </c>
    </row>
    <row r="34" spans="1:109" ht="12.75">
      <c r="A34" s="504">
        <v>20</v>
      </c>
      <c r="B34" s="505" t="s">
        <v>115</v>
      </c>
      <c r="C34" s="371" t="s">
        <v>10</v>
      </c>
      <c r="D34" s="371" t="s">
        <v>47</v>
      </c>
      <c r="F34" s="548">
        <v>1987</v>
      </c>
      <c r="G34" s="506">
        <f>H34</f>
        <v>8642.2317134068</v>
      </c>
      <c r="H34" s="507">
        <f t="shared" si="0"/>
        <v>8642.2317134068</v>
      </c>
      <c r="I34" s="508">
        <v>11</v>
      </c>
      <c r="J34" s="524"/>
      <c r="K34" s="499"/>
      <c r="L34" s="516"/>
      <c r="M34" s="481"/>
      <c r="N34" s="524"/>
      <c r="O34" s="499"/>
      <c r="P34" s="516"/>
      <c r="Q34" s="481"/>
      <c r="R34" s="524"/>
      <c r="S34" s="499"/>
      <c r="T34" s="516"/>
      <c r="U34" s="481"/>
      <c r="V34" s="524"/>
      <c r="W34" s="499"/>
      <c r="Y34" s="491"/>
      <c r="Z34" s="509" t="s">
        <v>443</v>
      </c>
      <c r="AA34" s="509" t="s">
        <v>1</v>
      </c>
      <c r="AB34" s="520">
        <v>0.01582175925925926</v>
      </c>
      <c r="AC34" s="481">
        <v>874.2527754056362</v>
      </c>
      <c r="AD34" s="509"/>
      <c r="AE34" s="509"/>
      <c r="AF34" s="501"/>
      <c r="AG34" s="491"/>
      <c r="AH34" s="509" t="s">
        <v>443</v>
      </c>
      <c r="AI34" s="509" t="s">
        <v>1</v>
      </c>
      <c r="AJ34" s="501" t="s">
        <v>358</v>
      </c>
      <c r="AK34" s="481">
        <v>0</v>
      </c>
      <c r="AL34" s="524"/>
      <c r="AM34" s="537"/>
      <c r="AN34" s="526"/>
      <c r="AO34" s="481"/>
      <c r="AP34" s="509" t="s">
        <v>625</v>
      </c>
      <c r="AQ34" s="509" t="s">
        <v>1</v>
      </c>
      <c r="AR34" s="513">
        <v>0.02013888888888889</v>
      </c>
      <c r="AS34" s="481">
        <v>1089.7911832946638</v>
      </c>
      <c r="AT34" s="509" t="s">
        <v>377</v>
      </c>
      <c r="AU34" s="509" t="s">
        <v>1</v>
      </c>
      <c r="AV34" s="513">
        <v>0.024537037037037038</v>
      </c>
      <c r="AW34" s="481">
        <v>755.7971014492755</v>
      </c>
      <c r="AX34" s="509" t="s">
        <v>377</v>
      </c>
      <c r="AY34" s="509" t="s">
        <v>1</v>
      </c>
      <c r="AZ34" s="513">
        <v>0.036770833333333336</v>
      </c>
      <c r="BA34" s="481">
        <v>905.6390977443607</v>
      </c>
      <c r="BB34" s="509" t="s">
        <v>377</v>
      </c>
      <c r="BC34" s="509" t="s">
        <v>1</v>
      </c>
      <c r="BD34" s="513">
        <v>0.04792824074074074</v>
      </c>
      <c r="BE34" s="481">
        <v>991.934250764526</v>
      </c>
      <c r="BF34" s="509"/>
      <c r="BG34" s="509"/>
      <c r="BH34" s="509"/>
      <c r="BI34" s="481"/>
      <c r="BJ34" s="509"/>
      <c r="BK34" s="509"/>
      <c r="BL34" s="509"/>
      <c r="BM34" s="481"/>
      <c r="BN34" s="509" t="s">
        <v>700</v>
      </c>
      <c r="BO34" s="509" t="s">
        <v>1</v>
      </c>
      <c r="BP34" s="509" t="s">
        <v>358</v>
      </c>
      <c r="BQ34" s="481">
        <v>0</v>
      </c>
      <c r="BR34" s="509" t="s">
        <v>700</v>
      </c>
      <c r="BS34" s="509" t="s">
        <v>1</v>
      </c>
      <c r="BT34" s="513">
        <v>0.03378472222222222</v>
      </c>
      <c r="BU34" s="481">
        <v>975.0702247191012</v>
      </c>
      <c r="BV34" s="509" t="s">
        <v>237</v>
      </c>
      <c r="BW34" s="509" t="s">
        <v>1</v>
      </c>
      <c r="BX34" s="513">
        <v>0.03891203703703704</v>
      </c>
      <c r="BY34" s="481">
        <v>993.0385700846662</v>
      </c>
      <c r="BZ34" s="509" t="s">
        <v>237</v>
      </c>
      <c r="CA34" s="509" t="s">
        <v>1</v>
      </c>
      <c r="CB34" s="513">
        <v>0.07730324074074074</v>
      </c>
      <c r="CC34" s="481">
        <v>956.708509944571</v>
      </c>
      <c r="CD34" s="509" t="s">
        <v>292</v>
      </c>
      <c r="CE34" s="509" t="s">
        <v>1</v>
      </c>
      <c r="CF34" s="512">
        <v>0.03577546296296296</v>
      </c>
      <c r="CG34" s="481">
        <v>1100</v>
      </c>
      <c r="CH34" s="499"/>
      <c r="CI34" s="499"/>
      <c r="CJ34" s="516"/>
      <c r="CK34" s="481"/>
      <c r="CL34" s="499"/>
      <c r="CM34" s="499"/>
      <c r="CN34" s="516"/>
      <c r="CO34" s="481"/>
      <c r="CP34" s="499"/>
      <c r="CQ34" s="499"/>
      <c r="CR34" s="516"/>
      <c r="CS34" s="481"/>
      <c r="CT34" s="499"/>
      <c r="CU34" s="499"/>
      <c r="CV34" s="516"/>
      <c r="CW34" s="481"/>
      <c r="CX34" s="499"/>
      <c r="CY34" s="499"/>
      <c r="CZ34" s="513"/>
      <c r="DA34" s="481"/>
      <c r="DB34" s="499"/>
      <c r="DC34" s="499"/>
      <c r="DD34" s="526"/>
      <c r="DE34" s="481"/>
    </row>
    <row r="35" spans="1:109" ht="12.75">
      <c r="A35" s="504">
        <v>21</v>
      </c>
      <c r="B35" s="505" t="s">
        <v>50</v>
      </c>
      <c r="C35" s="371" t="s">
        <v>10</v>
      </c>
      <c r="D35" s="371" t="s">
        <v>51</v>
      </c>
      <c r="E35" s="495" t="s">
        <v>360</v>
      </c>
      <c r="F35" s="548">
        <v>1970</v>
      </c>
      <c r="G35" s="506">
        <f>H35</f>
        <v>8571.276576767745</v>
      </c>
      <c r="H35" s="507">
        <f t="shared" si="0"/>
        <v>8571.276576767745</v>
      </c>
      <c r="I35" s="508">
        <v>12</v>
      </c>
      <c r="J35" s="509" t="s">
        <v>547</v>
      </c>
      <c r="K35" s="509" t="s">
        <v>1</v>
      </c>
      <c r="L35" s="513">
        <v>0.04627314814814815</v>
      </c>
      <c r="M35" s="481">
        <v>618.0435534047701</v>
      </c>
      <c r="N35" s="509"/>
      <c r="O35" s="509"/>
      <c r="P35" s="509"/>
      <c r="Q35" s="481"/>
      <c r="R35" s="524"/>
      <c r="S35" s="499"/>
      <c r="T35" s="516"/>
      <c r="U35" s="481"/>
      <c r="V35" s="524"/>
      <c r="W35" s="499"/>
      <c r="X35" s="516"/>
      <c r="Y35" s="481"/>
      <c r="Z35" s="509" t="s">
        <v>396</v>
      </c>
      <c r="AA35" s="509" t="s">
        <v>158</v>
      </c>
      <c r="AB35" s="513">
        <v>0.011886574074074075</v>
      </c>
      <c r="AC35" s="481">
        <v>776.6701570680628</v>
      </c>
      <c r="AD35" s="509" t="s">
        <v>396</v>
      </c>
      <c r="AE35" s="509" t="s">
        <v>158</v>
      </c>
      <c r="AF35" s="513">
        <v>0.06180555555555556</v>
      </c>
      <c r="AG35" s="481">
        <v>763.2618025751073</v>
      </c>
      <c r="AH35" s="509" t="s">
        <v>396</v>
      </c>
      <c r="AI35" s="509" t="s">
        <v>158</v>
      </c>
      <c r="AJ35" s="513">
        <v>0.042986111111111114</v>
      </c>
      <c r="AK35" s="481">
        <v>717.4082073434124</v>
      </c>
      <c r="AL35" s="509" t="s">
        <v>372</v>
      </c>
      <c r="AM35" s="509" t="s">
        <v>158</v>
      </c>
      <c r="AN35" s="513">
        <v>0.07408564814814815</v>
      </c>
      <c r="AO35" s="481">
        <v>769.8646510810337</v>
      </c>
      <c r="AP35" s="509" t="s">
        <v>372</v>
      </c>
      <c r="AQ35" s="509" t="s">
        <v>2</v>
      </c>
      <c r="AR35" s="513">
        <v>0.022037037037037036</v>
      </c>
      <c r="AS35" s="481">
        <v>727.6401725200249</v>
      </c>
      <c r="AT35" s="509" t="s">
        <v>633</v>
      </c>
      <c r="AU35" s="509" t="s">
        <v>2</v>
      </c>
      <c r="AV35" s="513">
        <v>0.022997685185185187</v>
      </c>
      <c r="AW35" s="481">
        <v>681.149012567325</v>
      </c>
      <c r="AX35" s="509" t="s">
        <v>633</v>
      </c>
      <c r="AY35" s="509" t="s">
        <v>2</v>
      </c>
      <c r="AZ35" s="513">
        <v>0.03483796296296296</v>
      </c>
      <c r="BA35" s="481">
        <v>638.6490939044483</v>
      </c>
      <c r="BB35" s="509" t="s">
        <v>633</v>
      </c>
      <c r="BC35" s="509" t="s">
        <v>2</v>
      </c>
      <c r="BD35" s="513">
        <v>0.04027777777777778</v>
      </c>
      <c r="BE35" s="481">
        <v>804.5283018867923</v>
      </c>
      <c r="BF35" s="509"/>
      <c r="BG35" s="509"/>
      <c r="BH35" s="509"/>
      <c r="BI35" s="481"/>
      <c r="BJ35" s="509"/>
      <c r="BK35" s="509"/>
      <c r="BL35" s="509"/>
      <c r="BM35" s="481"/>
      <c r="BN35" s="509" t="s">
        <v>741</v>
      </c>
      <c r="BO35" s="509" t="s">
        <v>158</v>
      </c>
      <c r="BP35" s="513">
        <v>0.04099537037037037</v>
      </c>
      <c r="BQ35" s="481">
        <v>596.3047001620745</v>
      </c>
      <c r="BR35" s="509"/>
      <c r="BS35" s="509"/>
      <c r="BT35" s="509"/>
      <c r="BU35" s="481"/>
      <c r="BV35" s="499"/>
      <c r="BW35" s="499"/>
      <c r="BX35" s="516"/>
      <c r="BY35" s="481"/>
      <c r="BZ35" s="499"/>
      <c r="CA35" s="499"/>
      <c r="CB35" s="516"/>
      <c r="CC35" s="481"/>
      <c r="CD35" s="499"/>
      <c r="CE35" s="499"/>
      <c r="CF35" s="516"/>
      <c r="CG35" s="481"/>
      <c r="CH35" s="499"/>
      <c r="CI35" s="499"/>
      <c r="CJ35" s="526"/>
      <c r="CK35" s="481"/>
      <c r="CL35" s="499"/>
      <c r="CM35" s="499"/>
      <c r="CN35" s="526"/>
      <c r="CO35" s="481"/>
      <c r="CP35" s="499"/>
      <c r="CQ35" s="499"/>
      <c r="CR35" s="516"/>
      <c r="CS35" s="481"/>
      <c r="CT35" s="499"/>
      <c r="CU35" s="499"/>
      <c r="CV35" s="516"/>
      <c r="CW35" s="481"/>
      <c r="CX35" s="499" t="s">
        <v>396</v>
      </c>
      <c r="CY35" s="499" t="s">
        <v>2</v>
      </c>
      <c r="CZ35" s="513">
        <v>0.05179398148148148</v>
      </c>
      <c r="DA35" s="481">
        <v>712.1031746031747</v>
      </c>
      <c r="DB35" s="499" t="s">
        <v>396</v>
      </c>
      <c r="DC35" s="499" t="s">
        <v>2</v>
      </c>
      <c r="DD35" s="513">
        <v>0.04329861111111111</v>
      </c>
      <c r="DE35" s="481">
        <v>765.6537496515193</v>
      </c>
    </row>
    <row r="36" spans="1:109" ht="12.75">
      <c r="A36" s="504">
        <v>22</v>
      </c>
      <c r="B36" s="505" t="s">
        <v>70</v>
      </c>
      <c r="C36" s="371" t="s">
        <v>10</v>
      </c>
      <c r="D36" s="371" t="s">
        <v>67</v>
      </c>
      <c r="E36" s="495" t="s">
        <v>359</v>
      </c>
      <c r="F36" s="190">
        <v>2000</v>
      </c>
      <c r="G36" s="506">
        <f>H36-BQ36-AS36</f>
        <v>8470.550863537452</v>
      </c>
      <c r="H36" s="507">
        <f t="shared" si="0"/>
        <v>9002.86852966387</v>
      </c>
      <c r="I36" s="508">
        <v>14</v>
      </c>
      <c r="J36" s="509" t="s">
        <v>547</v>
      </c>
      <c r="K36" s="509" t="s">
        <v>1</v>
      </c>
      <c r="L36" s="513">
        <v>0.044826388888888895</v>
      </c>
      <c r="M36" s="481">
        <v>661.2512962322847</v>
      </c>
      <c r="N36" s="524"/>
      <c r="O36" s="499"/>
      <c r="P36" s="516"/>
      <c r="Q36" s="481"/>
      <c r="R36" s="524"/>
      <c r="S36" s="499"/>
      <c r="T36" s="516"/>
      <c r="U36" s="481"/>
      <c r="V36" s="524"/>
      <c r="W36" s="499"/>
      <c r="X36" s="516"/>
      <c r="Y36" s="481"/>
      <c r="Z36" s="524" t="s">
        <v>578</v>
      </c>
      <c r="AA36" s="499" t="s">
        <v>172</v>
      </c>
      <c r="AB36" s="516">
        <v>0.011724537037037035</v>
      </c>
      <c r="AC36" s="481">
        <v>677.9202127659574</v>
      </c>
      <c r="AD36" s="524" t="s">
        <v>578</v>
      </c>
      <c r="AE36" s="499" t="s">
        <v>172</v>
      </c>
      <c r="AF36" s="516">
        <v>0.04784722222222223</v>
      </c>
      <c r="AG36" s="481">
        <v>735</v>
      </c>
      <c r="AH36" s="524" t="s">
        <v>578</v>
      </c>
      <c r="AI36" s="499" t="s">
        <v>172</v>
      </c>
      <c r="AJ36" s="516">
        <v>0.031064814814814812</v>
      </c>
      <c r="AK36" s="481">
        <v>735</v>
      </c>
      <c r="AL36" s="509" t="s">
        <v>649</v>
      </c>
      <c r="AM36" s="509" t="s">
        <v>158</v>
      </c>
      <c r="AN36" s="513">
        <v>0.0745138888888889</v>
      </c>
      <c r="AO36" s="481">
        <v>764.1413253647389</v>
      </c>
      <c r="AP36" s="509" t="s">
        <v>649</v>
      </c>
      <c r="AQ36" s="509" t="s">
        <v>2</v>
      </c>
      <c r="AR36" s="501" t="s">
        <v>358</v>
      </c>
      <c r="AS36" s="546">
        <v>0</v>
      </c>
      <c r="AT36" s="509"/>
      <c r="AU36" s="509"/>
      <c r="AV36" s="509"/>
      <c r="AW36" s="481"/>
      <c r="AX36" s="509"/>
      <c r="AY36" s="509"/>
      <c r="AZ36" s="509"/>
      <c r="BA36" s="481"/>
      <c r="BB36" s="509" t="s">
        <v>632</v>
      </c>
      <c r="BC36" s="509" t="s">
        <v>2</v>
      </c>
      <c r="BD36" s="513">
        <v>0.0434375</v>
      </c>
      <c r="BE36" s="481">
        <v>735.8490566037738</v>
      </c>
      <c r="BF36" s="509" t="s">
        <v>739</v>
      </c>
      <c r="BG36" s="509" t="s">
        <v>158</v>
      </c>
      <c r="BH36" s="513">
        <v>0.028449074074074075</v>
      </c>
      <c r="BI36" s="481">
        <v>594.0983606557377</v>
      </c>
      <c r="BJ36" s="509" t="s">
        <v>739</v>
      </c>
      <c r="BK36" s="509" t="s">
        <v>158</v>
      </c>
      <c r="BL36" s="513">
        <v>0.011851851851851851</v>
      </c>
      <c r="BM36" s="481">
        <v>650.2092050209204</v>
      </c>
      <c r="BN36" s="509" t="s">
        <v>739</v>
      </c>
      <c r="BO36" s="509" t="s">
        <v>158</v>
      </c>
      <c r="BP36" s="513">
        <v>0.044259259259259255</v>
      </c>
      <c r="BQ36" s="546">
        <v>532.3176661264182</v>
      </c>
      <c r="BR36" s="509" t="s">
        <v>739</v>
      </c>
      <c r="BS36" s="509" t="s">
        <v>158</v>
      </c>
      <c r="BT36" s="513">
        <v>0.025416666666666667</v>
      </c>
      <c r="BU36" s="481">
        <v>665.5518394648827</v>
      </c>
      <c r="BV36" s="499"/>
      <c r="BW36" s="499"/>
      <c r="BX36" s="516"/>
      <c r="BY36" s="481"/>
      <c r="BZ36" s="499"/>
      <c r="CA36" s="499"/>
      <c r="CB36" s="516"/>
      <c r="CC36" s="481"/>
      <c r="CD36" s="509" t="s">
        <v>649</v>
      </c>
      <c r="CE36" s="509" t="s">
        <v>2</v>
      </c>
      <c r="CF36" s="512">
        <v>0.039375</v>
      </c>
      <c r="CG36" s="481">
        <v>786.7360208062418</v>
      </c>
      <c r="CH36" s="499" t="s">
        <v>377</v>
      </c>
      <c r="CI36" s="499" t="s">
        <v>1</v>
      </c>
      <c r="CJ36" s="525">
        <v>0.01539351851851852</v>
      </c>
      <c r="CK36" s="481">
        <v>833.3333333333333</v>
      </c>
      <c r="CL36" s="499" t="s">
        <v>377</v>
      </c>
      <c r="CM36" s="499" t="s">
        <v>1</v>
      </c>
      <c r="CN36" s="513">
        <v>0.0772337962962963</v>
      </c>
      <c r="CO36" s="481">
        <v>631.4602132895815</v>
      </c>
      <c r="CP36" s="499"/>
      <c r="CQ36" s="499"/>
      <c r="CR36" s="526"/>
      <c r="CS36" s="481"/>
      <c r="CT36" s="499"/>
      <c r="CU36" s="499"/>
      <c r="CV36" s="526"/>
      <c r="CW36" s="481"/>
      <c r="CX36" s="499"/>
      <c r="CY36" s="499"/>
      <c r="CZ36" s="513"/>
      <c r="DA36" s="481"/>
      <c r="DB36" s="499"/>
      <c r="DC36" s="499"/>
      <c r="DD36" s="516"/>
      <c r="DE36" s="481"/>
    </row>
    <row r="37" spans="1:109" ht="12.75">
      <c r="A37" s="504">
        <v>23</v>
      </c>
      <c r="B37" s="505" t="s">
        <v>393</v>
      </c>
      <c r="C37" s="371" t="s">
        <v>10</v>
      </c>
      <c r="D37" s="371" t="s">
        <v>394</v>
      </c>
      <c r="E37" s="495" t="s">
        <v>359</v>
      </c>
      <c r="F37" s="190">
        <v>2000</v>
      </c>
      <c r="G37" s="506">
        <f>H37-M37-BI37</f>
        <v>8026.721749875423</v>
      </c>
      <c r="H37" s="507">
        <f t="shared" si="0"/>
        <v>8756.80873202</v>
      </c>
      <c r="I37" s="508">
        <v>14</v>
      </c>
      <c r="J37" s="509" t="s">
        <v>547</v>
      </c>
      <c r="K37" s="509" t="s">
        <v>1</v>
      </c>
      <c r="L37" s="513">
        <v>0.05486111111111111</v>
      </c>
      <c r="M37" s="546">
        <v>361.562391980643</v>
      </c>
      <c r="N37" s="524"/>
      <c r="O37" s="499"/>
      <c r="Q37" s="491"/>
      <c r="R37" s="524"/>
      <c r="S37" s="499"/>
      <c r="T37" s="516"/>
      <c r="U37" s="481"/>
      <c r="V37" s="524"/>
      <c r="W37" s="499"/>
      <c r="X37" s="516"/>
      <c r="Y37" s="481"/>
      <c r="Z37" s="509" t="s">
        <v>568</v>
      </c>
      <c r="AA37" s="509" t="s">
        <v>2</v>
      </c>
      <c r="AB37" s="513">
        <v>0.014733796296296295</v>
      </c>
      <c r="AC37" s="481">
        <v>696.7313218390805</v>
      </c>
      <c r="AD37" s="509" t="s">
        <v>568</v>
      </c>
      <c r="AE37" s="509" t="s">
        <v>2</v>
      </c>
      <c r="AF37" s="513">
        <v>0.06509259259259259</v>
      </c>
      <c r="AG37" s="481">
        <v>722.9136690647481</v>
      </c>
      <c r="AH37" s="509" t="s">
        <v>568</v>
      </c>
      <c r="AI37" s="509" t="s">
        <v>2</v>
      </c>
      <c r="AJ37" s="513">
        <v>0.048726851851851855</v>
      </c>
      <c r="AK37" s="481">
        <v>605.2747252747255</v>
      </c>
      <c r="AL37" s="509" t="s">
        <v>649</v>
      </c>
      <c r="AM37" s="509" t="s">
        <v>158</v>
      </c>
      <c r="AN37" s="513">
        <v>0.08212962962962962</v>
      </c>
      <c r="AO37" s="481">
        <v>662.3589383019865</v>
      </c>
      <c r="AP37" s="509" t="s">
        <v>649</v>
      </c>
      <c r="AQ37" s="509" t="s">
        <v>2</v>
      </c>
      <c r="AR37" s="513">
        <v>0.020520833333333332</v>
      </c>
      <c r="AS37" s="481">
        <v>798.6691312384476</v>
      </c>
      <c r="AT37" s="509" t="s">
        <v>632</v>
      </c>
      <c r="AU37" s="509" t="s">
        <v>2</v>
      </c>
      <c r="AV37" s="513">
        <v>0.01980324074074074</v>
      </c>
      <c r="AW37" s="481">
        <v>819.8922800718134</v>
      </c>
      <c r="AX37" s="509" t="s">
        <v>632</v>
      </c>
      <c r="AY37" s="509" t="s">
        <v>2</v>
      </c>
      <c r="AZ37" s="513">
        <v>0.03634259259259259</v>
      </c>
      <c r="BA37" s="481">
        <v>593.6738056013181</v>
      </c>
      <c r="BB37" s="509" t="s">
        <v>632</v>
      </c>
      <c r="BC37" s="509" t="s">
        <v>2</v>
      </c>
      <c r="BD37" s="513">
        <v>0.04349537037037037</v>
      </c>
      <c r="BE37" s="481">
        <v>734.5911949685534</v>
      </c>
      <c r="BF37" s="509" t="s">
        <v>739</v>
      </c>
      <c r="BG37" s="509" t="s">
        <v>158</v>
      </c>
      <c r="BH37" s="513">
        <v>0.036412037037037034</v>
      </c>
      <c r="BI37" s="546">
        <v>368.5245901639345</v>
      </c>
      <c r="BJ37" s="509" t="s">
        <v>739</v>
      </c>
      <c r="BK37" s="509" t="s">
        <v>158</v>
      </c>
      <c r="BL37" s="513">
        <v>0.012002314814814815</v>
      </c>
      <c r="BM37" s="481">
        <v>640.6903765690377</v>
      </c>
      <c r="BN37" s="509" t="s">
        <v>739</v>
      </c>
      <c r="BO37" s="509" t="s">
        <v>158</v>
      </c>
      <c r="BP37" s="513">
        <v>0.045370370370370366</v>
      </c>
      <c r="BQ37" s="481">
        <v>510.5348460291734</v>
      </c>
      <c r="BR37" s="509" t="s">
        <v>739</v>
      </c>
      <c r="BS37" s="509" t="s">
        <v>158</v>
      </c>
      <c r="BT37" s="513">
        <v>0.02871527777777778</v>
      </c>
      <c r="BU37" s="481">
        <v>570.2341137123744</v>
      </c>
      <c r="BV37" s="499"/>
      <c r="BW37" s="499"/>
      <c r="BX37" s="526"/>
      <c r="BY37" s="481"/>
      <c r="BZ37" s="499"/>
      <c r="CA37" s="499"/>
      <c r="CB37" s="526"/>
      <c r="CC37" s="481"/>
      <c r="CD37" s="509" t="s">
        <v>649</v>
      </c>
      <c r="CE37" s="509" t="s">
        <v>2</v>
      </c>
      <c r="CF37" s="513">
        <v>0.04405092592592593</v>
      </c>
      <c r="CG37" s="481">
        <v>671.157347204161</v>
      </c>
      <c r="CH37" s="499"/>
      <c r="CI37" s="499"/>
      <c r="CJ37" s="513"/>
      <c r="CK37" s="481"/>
      <c r="CL37" s="499"/>
      <c r="CM37" s="499"/>
      <c r="CN37" s="526"/>
      <c r="CO37" s="481"/>
      <c r="CP37" s="499"/>
      <c r="CQ37" s="499"/>
      <c r="CR37" s="526"/>
      <c r="CS37" s="481"/>
      <c r="CT37" s="499"/>
      <c r="CU37" s="499"/>
      <c r="CV37" s="526"/>
      <c r="CW37" s="481"/>
      <c r="CX37" s="499"/>
      <c r="CY37" s="499"/>
      <c r="CZ37" s="513"/>
      <c r="DA37" s="481"/>
      <c r="DB37" s="509"/>
      <c r="DC37" s="509"/>
      <c r="DD37" s="520"/>
      <c r="DE37" s="515"/>
    </row>
    <row r="38" spans="1:109" ht="12.75">
      <c r="A38" s="504">
        <v>24</v>
      </c>
      <c r="B38" s="505" t="s">
        <v>34</v>
      </c>
      <c r="C38" s="371" t="s">
        <v>10</v>
      </c>
      <c r="D38" s="371" t="s">
        <v>11</v>
      </c>
      <c r="E38" s="495" t="s">
        <v>360</v>
      </c>
      <c r="F38" s="548">
        <v>1973</v>
      </c>
      <c r="G38" s="506">
        <f>H38-BQ38-AW38-AO38-BI38-CK38-AG38-AS38-CG38-BU38-DE38</f>
        <v>7916.31400908668</v>
      </c>
      <c r="H38" s="507">
        <f t="shared" si="0"/>
        <v>12141.06314891609</v>
      </c>
      <c r="I38" s="508">
        <v>22</v>
      </c>
      <c r="J38" s="524" t="s">
        <v>571</v>
      </c>
      <c r="K38" s="499" t="s">
        <v>2</v>
      </c>
      <c r="L38" s="526">
        <v>0.03664351851851852</v>
      </c>
      <c r="M38" s="481">
        <v>711.2982456140351</v>
      </c>
      <c r="N38" s="524"/>
      <c r="O38" s="499"/>
      <c r="P38" s="516"/>
      <c r="Q38" s="481"/>
      <c r="R38" s="524" t="s">
        <v>372</v>
      </c>
      <c r="S38" s="499" t="s">
        <v>2</v>
      </c>
      <c r="T38" s="516">
        <v>0.05940972222222222</v>
      </c>
      <c r="U38" s="481">
        <v>756.9698213919114</v>
      </c>
      <c r="V38" s="524" t="s">
        <v>372</v>
      </c>
      <c r="W38" s="499" t="s">
        <v>2</v>
      </c>
      <c r="X38" s="516">
        <v>0.05700231481481482</v>
      </c>
      <c r="Y38" s="481">
        <v>633.1288343558281</v>
      </c>
      <c r="Z38" s="509" t="s">
        <v>396</v>
      </c>
      <c r="AA38" s="509" t="s">
        <v>158</v>
      </c>
      <c r="AB38" s="513">
        <v>0.014351851851851852</v>
      </c>
      <c r="AC38" s="481">
        <v>589.3193717277487</v>
      </c>
      <c r="AD38" s="509" t="s">
        <v>396</v>
      </c>
      <c r="AE38" s="509" t="s">
        <v>158</v>
      </c>
      <c r="AF38" s="513">
        <v>0.07953703703703703</v>
      </c>
      <c r="AG38" s="546">
        <v>500.25751072961384</v>
      </c>
      <c r="AH38" s="509" t="s">
        <v>396</v>
      </c>
      <c r="AI38" s="509" t="s">
        <v>158</v>
      </c>
      <c r="AJ38" s="513">
        <v>0.048587962962962965</v>
      </c>
      <c r="AK38" s="481">
        <v>591.9654427645787</v>
      </c>
      <c r="AL38" s="509" t="s">
        <v>372</v>
      </c>
      <c r="AM38" s="509" t="s">
        <v>158</v>
      </c>
      <c r="AN38" s="501" t="s">
        <v>358</v>
      </c>
      <c r="AO38" s="546">
        <v>0</v>
      </c>
      <c r="AP38" s="509" t="s">
        <v>372</v>
      </c>
      <c r="AQ38" s="509" t="s">
        <v>2</v>
      </c>
      <c r="AR38" s="513">
        <v>0.02666666666666667</v>
      </c>
      <c r="AS38" s="546">
        <v>510.7578558225509</v>
      </c>
      <c r="AT38" s="509" t="s">
        <v>633</v>
      </c>
      <c r="AU38" s="509" t="s">
        <v>2</v>
      </c>
      <c r="AV38" s="513">
        <v>0.03311342592592593</v>
      </c>
      <c r="AW38" s="546">
        <v>241.79533213644527</v>
      </c>
      <c r="AX38" s="509" t="s">
        <v>633</v>
      </c>
      <c r="AY38" s="509" t="s">
        <v>2</v>
      </c>
      <c r="AZ38" s="513">
        <v>0.03778935185185185</v>
      </c>
      <c r="BA38" s="546">
        <v>550.4283360790777</v>
      </c>
      <c r="BB38" s="509" t="s">
        <v>633</v>
      </c>
      <c r="BC38" s="509" t="s">
        <v>2</v>
      </c>
      <c r="BD38" s="513">
        <v>0.046064814814814815</v>
      </c>
      <c r="BE38" s="481">
        <v>678.7421383647799</v>
      </c>
      <c r="BF38" s="509" t="s">
        <v>741</v>
      </c>
      <c r="BG38" s="509" t="s">
        <v>158</v>
      </c>
      <c r="BH38" s="513">
        <v>0.03263888888888889</v>
      </c>
      <c r="BI38" s="546">
        <v>475.4098360655737</v>
      </c>
      <c r="BJ38" s="509" t="s">
        <v>741</v>
      </c>
      <c r="BK38" s="509" t="s">
        <v>158</v>
      </c>
      <c r="BL38" s="513">
        <v>0.012291666666666666</v>
      </c>
      <c r="BM38" s="481">
        <v>622.3849372384936</v>
      </c>
      <c r="BN38" s="509" t="s">
        <v>741</v>
      </c>
      <c r="BO38" s="509" t="s">
        <v>158</v>
      </c>
      <c r="BP38" s="513">
        <v>0.0475462962962963</v>
      </c>
      <c r="BQ38" s="546">
        <v>467.8768233387358</v>
      </c>
      <c r="BR38" s="509" t="s">
        <v>741</v>
      </c>
      <c r="BS38" s="509" t="s">
        <v>158</v>
      </c>
      <c r="BT38" s="513">
        <v>0.02951388888888889</v>
      </c>
      <c r="BU38" s="546">
        <v>547.1571906354513</v>
      </c>
      <c r="BV38" s="499"/>
      <c r="BW38" s="499"/>
      <c r="BX38" s="516"/>
      <c r="BY38" s="481"/>
      <c r="BZ38" s="499"/>
      <c r="CA38" s="499"/>
      <c r="CB38" s="516"/>
      <c r="CC38" s="481"/>
      <c r="CD38" s="509" t="s">
        <v>372</v>
      </c>
      <c r="CE38" s="509" t="s">
        <v>2</v>
      </c>
      <c r="CF38" s="513">
        <v>0.05023148148148148</v>
      </c>
      <c r="CG38" s="546">
        <v>518.3875162548765</v>
      </c>
      <c r="CH38" s="499" t="s">
        <v>633</v>
      </c>
      <c r="CI38" s="499" t="s">
        <v>2</v>
      </c>
      <c r="CJ38" s="526">
        <v>0.013900462962962962</v>
      </c>
      <c r="CK38" s="546">
        <v>454.82717520858154</v>
      </c>
      <c r="CL38" s="499" t="s">
        <v>633</v>
      </c>
      <c r="CM38" s="499" t="s">
        <v>2</v>
      </c>
      <c r="CN38" s="513">
        <v>0.04679398148148148</v>
      </c>
      <c r="CO38" s="481">
        <v>685.8111927642736</v>
      </c>
      <c r="CP38" s="499" t="s">
        <v>854</v>
      </c>
      <c r="CQ38" s="499" t="s">
        <v>2</v>
      </c>
      <c r="CR38" s="513">
        <v>0.036875</v>
      </c>
      <c r="CS38" s="481">
        <v>800</v>
      </c>
      <c r="CT38" s="499" t="s">
        <v>854</v>
      </c>
      <c r="CU38" s="499" t="s">
        <v>2</v>
      </c>
      <c r="CV38" s="513">
        <v>0.018194444444444444</v>
      </c>
      <c r="CW38" s="481">
        <v>673.249815770081</v>
      </c>
      <c r="CX38" s="499" t="s">
        <v>396</v>
      </c>
      <c r="CY38" s="509" t="s">
        <v>2</v>
      </c>
      <c r="CZ38" s="513">
        <v>0.05699074074074074</v>
      </c>
      <c r="DA38" s="481">
        <v>623.0158730158731</v>
      </c>
      <c r="DB38" s="499" t="s">
        <v>396</v>
      </c>
      <c r="DC38" s="509" t="s">
        <v>2</v>
      </c>
      <c r="DD38" s="513">
        <v>0.0566550925925926</v>
      </c>
      <c r="DE38" s="546">
        <v>508.27989963758</v>
      </c>
    </row>
    <row r="39" spans="1:109" ht="12.75">
      <c r="A39" s="504">
        <v>25</v>
      </c>
      <c r="B39" s="505" t="s">
        <v>59</v>
      </c>
      <c r="C39" s="371" t="s">
        <v>10</v>
      </c>
      <c r="D39" s="371" t="s">
        <v>11</v>
      </c>
      <c r="E39" s="495" t="s">
        <v>360</v>
      </c>
      <c r="F39" s="190">
        <v>1969</v>
      </c>
      <c r="G39" s="506">
        <f>H39-BM39-AO39-AC39-BQ39-BU39-BA39-DE39</f>
        <v>7853.689878289003</v>
      </c>
      <c r="H39" s="507">
        <f t="shared" si="0"/>
        <v>9885.287607334585</v>
      </c>
      <c r="I39" s="508">
        <v>19</v>
      </c>
      <c r="J39" s="524"/>
      <c r="K39" s="499"/>
      <c r="L39" s="526"/>
      <c r="M39" s="481"/>
      <c r="N39" s="524"/>
      <c r="O39" s="499"/>
      <c r="P39" s="516"/>
      <c r="Q39" s="481"/>
      <c r="R39" s="524"/>
      <c r="S39" s="499"/>
      <c r="T39" s="516"/>
      <c r="U39" s="481"/>
      <c r="V39" s="524"/>
      <c r="W39" s="499"/>
      <c r="X39" s="516"/>
      <c r="Y39" s="481"/>
      <c r="Z39" s="509" t="s">
        <v>396</v>
      </c>
      <c r="AA39" s="509" t="s">
        <v>158</v>
      </c>
      <c r="AB39" s="520" t="s">
        <v>358</v>
      </c>
      <c r="AC39" s="546">
        <v>0</v>
      </c>
      <c r="AD39" s="509" t="s">
        <v>396</v>
      </c>
      <c r="AE39" s="509" t="s">
        <v>158</v>
      </c>
      <c r="AF39" s="513">
        <v>0.07751157407407407</v>
      </c>
      <c r="AG39" s="546">
        <v>530.3004291845494</v>
      </c>
      <c r="AH39" s="509" t="s">
        <v>396</v>
      </c>
      <c r="AI39" s="509" t="s">
        <v>158</v>
      </c>
      <c r="AJ39" s="513">
        <v>0.04644675925925926</v>
      </c>
      <c r="AK39" s="481">
        <v>639.9136069114471</v>
      </c>
      <c r="AL39" s="509" t="s">
        <v>372</v>
      </c>
      <c r="AM39" s="509" t="s">
        <v>158</v>
      </c>
      <c r="AN39" s="513">
        <v>0.09428240740740741</v>
      </c>
      <c r="AO39" s="546">
        <v>499.94023554227465</v>
      </c>
      <c r="AP39" s="509" t="s">
        <v>372</v>
      </c>
      <c r="AQ39" s="509" t="s">
        <v>2</v>
      </c>
      <c r="AR39" s="513">
        <v>0.02359953703703704</v>
      </c>
      <c r="AS39" s="481">
        <v>654.4423906346273</v>
      </c>
      <c r="AT39" s="509" t="s">
        <v>633</v>
      </c>
      <c r="AU39" s="509" t="s">
        <v>2</v>
      </c>
      <c r="AV39" s="513">
        <v>0.022199074074074076</v>
      </c>
      <c r="AW39" s="481">
        <v>715.8348294434471</v>
      </c>
      <c r="AX39" s="509" t="s">
        <v>633</v>
      </c>
      <c r="AY39" s="509" t="s">
        <v>2</v>
      </c>
      <c r="AZ39" s="513">
        <v>0.03857638888888889</v>
      </c>
      <c r="BA39" s="546">
        <v>526.9028006589787</v>
      </c>
      <c r="BB39" s="509" t="s">
        <v>633</v>
      </c>
      <c r="BC39" s="509" t="s">
        <v>2</v>
      </c>
      <c r="BD39" s="513">
        <v>0.04655092592592592</v>
      </c>
      <c r="BE39" s="481">
        <v>668.176100628931</v>
      </c>
      <c r="BF39" s="509" t="s">
        <v>741</v>
      </c>
      <c r="BG39" s="509" t="s">
        <v>158</v>
      </c>
      <c r="BH39" s="513">
        <v>0.02990740740740741</v>
      </c>
      <c r="BI39" s="481">
        <v>552.7868852459015</v>
      </c>
      <c r="BJ39" s="509" t="s">
        <v>741</v>
      </c>
      <c r="BK39" s="509" t="s">
        <v>158</v>
      </c>
      <c r="BL39" s="509" t="s">
        <v>358</v>
      </c>
      <c r="BM39" s="546">
        <v>0</v>
      </c>
      <c r="BN39" s="509" t="s">
        <v>741</v>
      </c>
      <c r="BO39" s="509" t="s">
        <v>158</v>
      </c>
      <c r="BP39" s="513">
        <v>0.04564814814814815</v>
      </c>
      <c r="BQ39" s="546">
        <v>505.0891410048622</v>
      </c>
      <c r="BR39" s="509" t="s">
        <v>741</v>
      </c>
      <c r="BS39" s="509" t="s">
        <v>158</v>
      </c>
      <c r="BT39" s="513">
        <v>0.031157407407407408</v>
      </c>
      <c r="BU39" s="546">
        <v>499.66555183946474</v>
      </c>
      <c r="BV39" s="499"/>
      <c r="BW39" s="499"/>
      <c r="BX39" s="516"/>
      <c r="BY39" s="481"/>
      <c r="BZ39" s="499"/>
      <c r="CA39" s="499"/>
      <c r="CB39" s="526"/>
      <c r="CC39" s="481"/>
      <c r="CD39" s="509" t="s">
        <v>372</v>
      </c>
      <c r="CE39" s="509" t="s">
        <v>2</v>
      </c>
      <c r="CF39" s="513">
        <v>0.04778935185185185</v>
      </c>
      <c r="CG39" s="481">
        <v>578.7516254876465</v>
      </c>
      <c r="CH39" s="499" t="s">
        <v>633</v>
      </c>
      <c r="CI39" s="499" t="s">
        <v>2</v>
      </c>
      <c r="CJ39" s="513">
        <v>0.011886574074074075</v>
      </c>
      <c r="CK39" s="481">
        <v>620.7389749702024</v>
      </c>
      <c r="CL39" s="499" t="s">
        <v>633</v>
      </c>
      <c r="CM39" s="499" t="s">
        <v>2</v>
      </c>
      <c r="CN39" s="513">
        <v>0.04576388888888889</v>
      </c>
      <c r="CO39" s="481">
        <v>705.9355568117581</v>
      </c>
      <c r="CP39" s="499" t="s">
        <v>854</v>
      </c>
      <c r="CQ39" s="499" t="s">
        <v>2</v>
      </c>
      <c r="CR39" s="513">
        <v>0.039467592592592596</v>
      </c>
      <c r="CS39" s="481">
        <v>743.7539234149403</v>
      </c>
      <c r="CT39" s="499" t="s">
        <v>854</v>
      </c>
      <c r="CU39" s="499" t="s">
        <v>2</v>
      </c>
      <c r="CV39" s="513">
        <v>0.01570601851851852</v>
      </c>
      <c r="CW39" s="481">
        <v>800</v>
      </c>
      <c r="CX39" s="499" t="s">
        <v>396</v>
      </c>
      <c r="CY39" s="499" t="s">
        <v>2</v>
      </c>
      <c r="CZ39" s="513">
        <v>0.05582175925925926</v>
      </c>
      <c r="DA39" s="481">
        <v>643.0555555555555</v>
      </c>
      <c r="DB39" s="499" t="s">
        <v>396</v>
      </c>
      <c r="DC39" s="499" t="s">
        <v>2</v>
      </c>
      <c r="DD39" s="513" t="s">
        <v>358</v>
      </c>
      <c r="DE39" s="546">
        <v>0</v>
      </c>
    </row>
    <row r="40" spans="1:109" ht="12.75">
      <c r="A40" s="504">
        <v>26</v>
      </c>
      <c r="B40" s="505" t="s">
        <v>121</v>
      </c>
      <c r="C40" s="371" t="s">
        <v>10</v>
      </c>
      <c r="D40" s="371" t="s">
        <v>17</v>
      </c>
      <c r="E40" s="495" t="s">
        <v>360</v>
      </c>
      <c r="F40" s="190">
        <v>1971</v>
      </c>
      <c r="G40" s="506">
        <f>H40-AO40</f>
        <v>7667.061477792932</v>
      </c>
      <c r="H40" s="507">
        <f t="shared" si="0"/>
        <v>7876.171362987505</v>
      </c>
      <c r="I40" s="508">
        <v>13</v>
      </c>
      <c r="J40" s="524"/>
      <c r="K40" s="499"/>
      <c r="L40" s="526"/>
      <c r="M40" s="481"/>
      <c r="N40" s="524"/>
      <c r="O40" s="499"/>
      <c r="P40" s="516"/>
      <c r="Q40" s="481"/>
      <c r="R40" s="524"/>
      <c r="S40" s="499"/>
      <c r="T40" s="516"/>
      <c r="U40" s="481"/>
      <c r="V40" s="524"/>
      <c r="W40" s="499"/>
      <c r="X40" s="516"/>
      <c r="Y40" s="481"/>
      <c r="Z40" s="509" t="s">
        <v>443</v>
      </c>
      <c r="AA40" s="509" t="s">
        <v>1</v>
      </c>
      <c r="AB40" s="520">
        <v>0.019224537037037037</v>
      </c>
      <c r="AC40" s="481">
        <v>610.6319385140907</v>
      </c>
      <c r="AD40" s="509" t="s">
        <v>443</v>
      </c>
      <c r="AE40" s="509" t="s">
        <v>1</v>
      </c>
      <c r="AF40" s="520">
        <v>0.0908912037037037</v>
      </c>
      <c r="AG40" s="481">
        <v>552.3930180180181</v>
      </c>
      <c r="AH40" s="509" t="s">
        <v>443</v>
      </c>
      <c r="AI40" s="509" t="s">
        <v>1</v>
      </c>
      <c r="AJ40" s="520">
        <v>0.05832175925925926</v>
      </c>
      <c r="AK40" s="481">
        <v>727.865663900415</v>
      </c>
      <c r="AL40" s="509" t="s">
        <v>625</v>
      </c>
      <c r="AM40" s="509" t="s">
        <v>1</v>
      </c>
      <c r="AN40" s="513">
        <v>0.14049768518518518</v>
      </c>
      <c r="AO40" s="546">
        <v>209.1098851945729</v>
      </c>
      <c r="AP40" s="509" t="s">
        <v>625</v>
      </c>
      <c r="AQ40" s="509" t="s">
        <v>1</v>
      </c>
      <c r="AR40" s="513">
        <v>0.03290509259259259</v>
      </c>
      <c r="AS40" s="481">
        <v>386.020881670534</v>
      </c>
      <c r="AT40" s="509" t="s">
        <v>633</v>
      </c>
      <c r="AU40" s="509" t="s">
        <v>2</v>
      </c>
      <c r="AV40" s="513">
        <v>0.021689814814814815</v>
      </c>
      <c r="AW40" s="481">
        <v>737.9533213644526</v>
      </c>
      <c r="AX40" s="509" t="s">
        <v>633</v>
      </c>
      <c r="AY40" s="509" t="s">
        <v>2</v>
      </c>
      <c r="AZ40" s="513">
        <v>0.035115740740740746</v>
      </c>
      <c r="BA40" s="481">
        <v>630.3459637561779</v>
      </c>
      <c r="BB40" s="509" t="s">
        <v>633</v>
      </c>
      <c r="BC40" s="509" t="s">
        <v>2</v>
      </c>
      <c r="BD40" s="513">
        <v>0.03989583333333333</v>
      </c>
      <c r="BE40" s="481">
        <v>812.8301886792451</v>
      </c>
      <c r="BF40" s="509"/>
      <c r="BG40" s="509"/>
      <c r="BH40" s="509"/>
      <c r="BI40" s="481"/>
      <c r="BJ40" s="509"/>
      <c r="BK40" s="509"/>
      <c r="BL40" s="509"/>
      <c r="BM40" s="481"/>
      <c r="BN40" s="509" t="s">
        <v>700</v>
      </c>
      <c r="BO40" s="509" t="s">
        <v>1</v>
      </c>
      <c r="BP40" s="513">
        <v>0.07149305555555556</v>
      </c>
      <c r="BQ40" s="481">
        <v>629.4652762369648</v>
      </c>
      <c r="BR40" s="509" t="s">
        <v>700</v>
      </c>
      <c r="BS40" s="509" t="s">
        <v>1</v>
      </c>
      <c r="BT40" s="513">
        <v>0.04587962962962963</v>
      </c>
      <c r="BU40" s="481">
        <v>608.1460674157304</v>
      </c>
      <c r="BV40" s="509" t="s">
        <v>237</v>
      </c>
      <c r="BW40" s="509" t="s">
        <v>1</v>
      </c>
      <c r="BX40" s="513">
        <v>0.04789351851851852</v>
      </c>
      <c r="BY40" s="481">
        <v>737.5352775164629</v>
      </c>
      <c r="BZ40" s="509" t="s">
        <v>237</v>
      </c>
      <c r="CA40" s="509" t="s">
        <v>1</v>
      </c>
      <c r="CB40" s="513">
        <v>0.1040162037037037</v>
      </c>
      <c r="CC40" s="481">
        <v>561.6318878382785</v>
      </c>
      <c r="CD40" s="509" t="s">
        <v>292</v>
      </c>
      <c r="CE40" s="509" t="s">
        <v>1</v>
      </c>
      <c r="CF40" s="513">
        <v>0.049687499999999996</v>
      </c>
      <c r="CG40" s="481">
        <v>672.2419928825624</v>
      </c>
      <c r="CH40" s="499"/>
      <c r="CI40" s="499"/>
      <c r="CJ40" s="513"/>
      <c r="CK40" s="481"/>
      <c r="CL40" s="499"/>
      <c r="CM40" s="499"/>
      <c r="CN40" s="526"/>
      <c r="CO40" s="481"/>
      <c r="CP40" s="499"/>
      <c r="CQ40" s="499"/>
      <c r="CR40" s="520"/>
      <c r="CS40" s="515"/>
      <c r="CT40" s="509"/>
      <c r="CU40" s="509"/>
      <c r="CV40" s="520"/>
      <c r="CW40" s="515"/>
      <c r="CX40" s="499"/>
      <c r="CY40" s="499"/>
      <c r="CZ40" s="509"/>
      <c r="DA40" s="481"/>
      <c r="DB40" s="509"/>
      <c r="DC40" s="509"/>
      <c r="DD40" s="520"/>
      <c r="DE40" s="515"/>
    </row>
    <row r="41" spans="1:109" ht="12.75">
      <c r="A41" s="504">
        <v>27</v>
      </c>
      <c r="B41" s="505" t="s">
        <v>279</v>
      </c>
      <c r="C41" s="371" t="s">
        <v>187</v>
      </c>
      <c r="D41" s="371" t="s">
        <v>280</v>
      </c>
      <c r="F41" s="548">
        <v>1979</v>
      </c>
      <c r="G41" s="506">
        <f>H41</f>
        <v>7643.812608434462</v>
      </c>
      <c r="H41" s="507">
        <f t="shared" si="0"/>
        <v>7643.812608434462</v>
      </c>
      <c r="I41" s="508">
        <v>10</v>
      </c>
      <c r="J41" s="524"/>
      <c r="K41" s="499"/>
      <c r="M41" s="491"/>
      <c r="N41" s="524"/>
      <c r="O41" s="499"/>
      <c r="P41" s="516"/>
      <c r="Q41" s="481"/>
      <c r="R41" s="509" t="s">
        <v>292</v>
      </c>
      <c r="S41" s="509" t="s">
        <v>1</v>
      </c>
      <c r="T41" s="513">
        <v>0.06469907407407406</v>
      </c>
      <c r="U41" s="481">
        <v>923.5509339495476</v>
      </c>
      <c r="V41" s="509" t="s">
        <v>292</v>
      </c>
      <c r="W41" s="509" t="s">
        <v>1</v>
      </c>
      <c r="X41" s="513">
        <v>0.05121527777777778</v>
      </c>
      <c r="Y41" s="481">
        <v>943.9140811455849</v>
      </c>
      <c r="Z41" s="509" t="s">
        <v>443</v>
      </c>
      <c r="AA41" s="509" t="s">
        <v>1</v>
      </c>
      <c r="AB41" s="520">
        <v>0.01577546296296296</v>
      </c>
      <c r="AC41" s="481">
        <v>877.8394534585829</v>
      </c>
      <c r="AD41" s="509" t="s">
        <v>443</v>
      </c>
      <c r="AE41" s="509" t="s">
        <v>1</v>
      </c>
      <c r="AF41" s="520">
        <v>0.06704861111111111</v>
      </c>
      <c r="AG41" s="481">
        <v>958.3614864864865</v>
      </c>
      <c r="AH41" s="509" t="s">
        <v>443</v>
      </c>
      <c r="AI41" s="509" t="s">
        <v>1</v>
      </c>
      <c r="AJ41" s="501" t="s">
        <v>358</v>
      </c>
      <c r="AK41" s="481">
        <v>0</v>
      </c>
      <c r="AL41" s="509" t="s">
        <v>625</v>
      </c>
      <c r="AM41" s="509" t="s">
        <v>1</v>
      </c>
      <c r="AN41" s="513">
        <v>0.08445601851851853</v>
      </c>
      <c r="AO41" s="481">
        <v>1003.2354256746682</v>
      </c>
      <c r="AP41" s="509" t="s">
        <v>625</v>
      </c>
      <c r="AQ41" s="509" t="s">
        <v>1</v>
      </c>
      <c r="AR41" s="518" t="s">
        <v>358</v>
      </c>
      <c r="AS41" s="481">
        <v>0</v>
      </c>
      <c r="AT41" s="509" t="s">
        <v>377</v>
      </c>
      <c r="AU41" s="509" t="s">
        <v>1</v>
      </c>
      <c r="AV41" s="513">
        <v>0.02074074074074074</v>
      </c>
      <c r="AW41" s="481">
        <v>963.7681159420291</v>
      </c>
      <c r="AX41" s="509" t="s">
        <v>377</v>
      </c>
      <c r="AY41" s="509" t="s">
        <v>1</v>
      </c>
      <c r="AZ41" s="513">
        <v>0.033900462962962966</v>
      </c>
      <c r="BA41" s="481">
        <v>998.8721804511275</v>
      </c>
      <c r="BB41" s="509"/>
      <c r="BC41" s="509"/>
      <c r="BD41" s="509"/>
      <c r="BE41" s="481"/>
      <c r="BF41" s="499"/>
      <c r="BG41" s="499"/>
      <c r="BH41" s="516"/>
      <c r="BI41" s="481"/>
      <c r="BJ41" s="499"/>
      <c r="BK41" s="499"/>
      <c r="BL41" s="516"/>
      <c r="BM41" s="481"/>
      <c r="BN41" s="499"/>
      <c r="BO41" s="499"/>
      <c r="BP41" s="516"/>
      <c r="BQ41" s="481"/>
      <c r="BR41" s="499"/>
      <c r="BS41" s="499"/>
      <c r="BT41" s="516"/>
      <c r="BU41" s="481"/>
      <c r="BV41" s="509" t="s">
        <v>237</v>
      </c>
      <c r="BW41" s="509" t="s">
        <v>1</v>
      </c>
      <c r="BX41" s="513">
        <v>0.03957175925925926</v>
      </c>
      <c r="BY41" s="481">
        <v>974.2709313264348</v>
      </c>
      <c r="BZ41" s="509"/>
      <c r="CA41" s="509"/>
      <c r="CB41" s="516"/>
      <c r="CC41" s="481"/>
      <c r="CD41" s="499"/>
      <c r="CE41" s="499"/>
      <c r="CF41" s="516"/>
      <c r="CG41" s="481"/>
      <c r="CH41" s="499"/>
      <c r="CI41" s="499"/>
      <c r="CJ41" s="526"/>
      <c r="CK41" s="481"/>
      <c r="CL41" s="499"/>
      <c r="CM41" s="499"/>
      <c r="CN41" s="526"/>
      <c r="CO41" s="481"/>
      <c r="CP41" s="499"/>
      <c r="CQ41" s="499"/>
      <c r="CR41" s="520"/>
      <c r="CS41" s="515"/>
      <c r="CT41" s="509"/>
      <c r="CU41" s="509"/>
      <c r="CV41" s="520"/>
      <c r="CW41" s="515"/>
      <c r="CX41" s="499"/>
      <c r="CY41" s="499"/>
      <c r="CZ41" s="513"/>
      <c r="DA41" s="481"/>
      <c r="DB41" s="509"/>
      <c r="DC41" s="509"/>
      <c r="DD41" s="520"/>
      <c r="DE41" s="515"/>
    </row>
    <row r="42" spans="1:109" ht="12.75">
      <c r="A42" s="504">
        <v>28</v>
      </c>
      <c r="B42" s="519" t="s">
        <v>563</v>
      </c>
      <c r="C42" s="485" t="s">
        <v>10</v>
      </c>
      <c r="D42" s="485" t="s">
        <v>21</v>
      </c>
      <c r="E42" s="495" t="s">
        <v>359</v>
      </c>
      <c r="F42" s="190">
        <v>1999</v>
      </c>
      <c r="G42" s="506">
        <f>H42</f>
        <v>7508.889197529783</v>
      </c>
      <c r="H42" s="507">
        <f t="shared" si="0"/>
        <v>7508.889197529783</v>
      </c>
      <c r="I42" s="508">
        <v>12</v>
      </c>
      <c r="J42" s="524"/>
      <c r="K42" s="499"/>
      <c r="L42" s="526"/>
      <c r="M42" s="481"/>
      <c r="N42" s="524"/>
      <c r="O42" s="499"/>
      <c r="P42" s="516"/>
      <c r="Q42" s="481"/>
      <c r="R42" s="524"/>
      <c r="S42" s="499"/>
      <c r="T42" s="516"/>
      <c r="U42" s="481"/>
      <c r="V42" s="524"/>
      <c r="W42" s="499"/>
      <c r="X42" s="516"/>
      <c r="Y42" s="481"/>
      <c r="Z42" s="509" t="s">
        <v>568</v>
      </c>
      <c r="AA42" s="509" t="s">
        <v>2</v>
      </c>
      <c r="AB42" s="513">
        <v>0.015474537037037038</v>
      </c>
      <c r="AC42" s="481">
        <v>642.0186781609195</v>
      </c>
      <c r="AD42" s="509" t="s">
        <v>568</v>
      </c>
      <c r="AE42" s="509" t="s">
        <v>2</v>
      </c>
      <c r="AF42" s="513">
        <v>0.07714120370370371</v>
      </c>
      <c r="AG42" s="481">
        <v>526.3219424460431</v>
      </c>
      <c r="AH42" s="509" t="s">
        <v>568</v>
      </c>
      <c r="AI42" s="509" t="s">
        <v>2</v>
      </c>
      <c r="AJ42" s="513">
        <v>0.0496412037037037</v>
      </c>
      <c r="AK42" s="481">
        <v>583.1373626373628</v>
      </c>
      <c r="AL42" s="509" t="s">
        <v>649</v>
      </c>
      <c r="AM42" s="509" t="s">
        <v>158</v>
      </c>
      <c r="AN42" s="513">
        <v>0.08162037037037037</v>
      </c>
      <c r="AO42" s="481">
        <v>669.1650553700123</v>
      </c>
      <c r="AP42" s="509" t="s">
        <v>649</v>
      </c>
      <c r="AQ42" s="509" t="s">
        <v>2</v>
      </c>
      <c r="AR42" s="513">
        <v>0.01947916666666667</v>
      </c>
      <c r="AS42" s="481">
        <v>847.467652495379</v>
      </c>
      <c r="AT42" s="509" t="s">
        <v>377</v>
      </c>
      <c r="AU42" s="509" t="s">
        <v>1</v>
      </c>
      <c r="AV42" s="513">
        <v>0.032673611111111105</v>
      </c>
      <c r="AW42" s="481">
        <v>310.05434782608756</v>
      </c>
      <c r="AX42" s="509" t="s">
        <v>377</v>
      </c>
      <c r="AY42" s="509" t="s">
        <v>1</v>
      </c>
      <c r="AZ42" s="513">
        <v>0.04341435185185185</v>
      </c>
      <c r="BA42" s="481">
        <v>689.8496240601502</v>
      </c>
      <c r="BB42" s="509" t="s">
        <v>377</v>
      </c>
      <c r="BC42" s="509" t="s">
        <v>1</v>
      </c>
      <c r="BD42" s="513">
        <v>0.06421296296296296</v>
      </c>
      <c r="BE42" s="481">
        <v>615.4434250764529</v>
      </c>
      <c r="BF42" s="509" t="s">
        <v>700</v>
      </c>
      <c r="BG42" s="509" t="s">
        <v>1</v>
      </c>
      <c r="BH42" s="513">
        <v>0.033726851851851855</v>
      </c>
      <c r="BI42" s="481">
        <v>626.7672007540054</v>
      </c>
      <c r="BJ42" s="509" t="s">
        <v>700</v>
      </c>
      <c r="BK42" s="509" t="s">
        <v>1</v>
      </c>
      <c r="BL42" s="513">
        <v>0.01306712962962963</v>
      </c>
      <c r="BM42" s="481">
        <v>673.3254994124558</v>
      </c>
      <c r="BN42" s="509" t="s">
        <v>700</v>
      </c>
      <c r="BO42" s="509" t="s">
        <v>1</v>
      </c>
      <c r="BP42" s="513">
        <v>0.07133101851851852</v>
      </c>
      <c r="BQ42" s="481">
        <v>632.5715553583318</v>
      </c>
      <c r="BR42" s="509" t="s">
        <v>700</v>
      </c>
      <c r="BS42" s="509" t="s">
        <v>1</v>
      </c>
      <c r="BT42" s="513">
        <v>0.043090277777777776</v>
      </c>
      <c r="BU42" s="481">
        <v>692.7668539325845</v>
      </c>
      <c r="BV42" s="499"/>
      <c r="BW42" s="499"/>
      <c r="BX42" s="516"/>
      <c r="BY42" s="481"/>
      <c r="BZ42" s="499"/>
      <c r="CA42" s="499"/>
      <c r="CB42" s="526"/>
      <c r="CC42" s="481"/>
      <c r="CD42" s="499"/>
      <c r="CE42" s="499"/>
      <c r="CF42" s="516"/>
      <c r="CG42" s="481"/>
      <c r="CH42" s="499"/>
      <c r="CI42" s="499"/>
      <c r="CJ42" s="516"/>
      <c r="CK42" s="481"/>
      <c r="CL42" s="499"/>
      <c r="CM42" s="499"/>
      <c r="CN42" s="516"/>
      <c r="CO42" s="481"/>
      <c r="CP42" s="499"/>
      <c r="CQ42" s="499"/>
      <c r="CR42" s="516"/>
      <c r="CS42" s="481"/>
      <c r="CT42" s="499"/>
      <c r="CU42" s="499"/>
      <c r="CV42" s="516"/>
      <c r="CW42" s="481"/>
      <c r="CX42" s="499"/>
      <c r="CY42" s="499"/>
      <c r="CZ42" s="513"/>
      <c r="DA42" s="481"/>
      <c r="DB42" s="499"/>
      <c r="DC42" s="499"/>
      <c r="DD42" s="526"/>
      <c r="DE42" s="481"/>
    </row>
    <row r="43" spans="1:109" ht="12.75">
      <c r="A43" s="504">
        <v>29</v>
      </c>
      <c r="B43" s="505" t="s">
        <v>254</v>
      </c>
      <c r="C43" s="371" t="s">
        <v>10</v>
      </c>
      <c r="D43" s="371" t="s">
        <v>215</v>
      </c>
      <c r="F43" s="548">
        <v>1984</v>
      </c>
      <c r="G43" s="506">
        <f>H43-BM43-BQ43</f>
        <v>7117.474248247858</v>
      </c>
      <c r="H43" s="507">
        <f t="shared" si="0"/>
        <v>7117.474248247858</v>
      </c>
      <c r="I43" s="508">
        <v>14</v>
      </c>
      <c r="J43" s="509"/>
      <c r="K43" s="509"/>
      <c r="L43" s="509"/>
      <c r="M43" s="491"/>
      <c r="N43" s="509" t="s">
        <v>551</v>
      </c>
      <c r="O43" s="509" t="s">
        <v>1</v>
      </c>
      <c r="P43" s="513">
        <v>0.06065972222222222</v>
      </c>
      <c r="Q43" s="481">
        <v>519.0731845153999</v>
      </c>
      <c r="R43" s="524"/>
      <c r="S43" s="499"/>
      <c r="T43" s="516"/>
      <c r="U43" s="481"/>
      <c r="V43" s="524"/>
      <c r="W43" s="499"/>
      <c r="X43" s="516"/>
      <c r="Y43" s="481"/>
      <c r="Z43" s="509" t="s">
        <v>443</v>
      </c>
      <c r="AA43" s="509" t="s">
        <v>1</v>
      </c>
      <c r="AB43" s="520">
        <v>0.019270833333333334</v>
      </c>
      <c r="AC43" s="481">
        <v>607.0452604611443</v>
      </c>
      <c r="AD43" s="509" t="s">
        <v>443</v>
      </c>
      <c r="AE43" s="509" t="s">
        <v>1</v>
      </c>
      <c r="AF43" s="520">
        <v>0.08472222222222221</v>
      </c>
      <c r="AG43" s="481">
        <v>657.4324324324327</v>
      </c>
      <c r="AH43" s="509" t="s">
        <v>443</v>
      </c>
      <c r="AI43" s="509" t="s">
        <v>1</v>
      </c>
      <c r="AJ43" s="520">
        <v>0.0619212962962963</v>
      </c>
      <c r="AK43" s="481">
        <v>643.1794605809127</v>
      </c>
      <c r="AL43" s="509" t="s">
        <v>625</v>
      </c>
      <c r="AM43" s="509" t="s">
        <v>1</v>
      </c>
      <c r="AN43" s="513">
        <v>0.11427083333333332</v>
      </c>
      <c r="AO43" s="481">
        <v>580.7514537050846</v>
      </c>
      <c r="AP43" s="509" t="s">
        <v>625</v>
      </c>
      <c r="AQ43" s="509" t="s">
        <v>1</v>
      </c>
      <c r="AR43" s="513">
        <v>0.029305555555555557</v>
      </c>
      <c r="AS43" s="481">
        <v>584.4547563805107</v>
      </c>
      <c r="AT43" s="524"/>
      <c r="AU43" s="524"/>
      <c r="AV43" s="526"/>
      <c r="AW43" s="481"/>
      <c r="AX43" s="524"/>
      <c r="AY43" s="524"/>
      <c r="AZ43" s="516"/>
      <c r="BA43" s="481"/>
      <c r="BB43" s="524"/>
      <c r="BC43" s="524"/>
      <c r="BD43" s="516"/>
      <c r="BE43" s="481"/>
      <c r="BF43" s="509" t="s">
        <v>700</v>
      </c>
      <c r="BG43" s="509" t="s">
        <v>1</v>
      </c>
      <c r="BH43" s="513">
        <v>0.033067129629629634</v>
      </c>
      <c r="BI43" s="481">
        <v>653.6286522148915</v>
      </c>
      <c r="BJ43" s="509" t="s">
        <v>700</v>
      </c>
      <c r="BK43" s="509" t="s">
        <v>1</v>
      </c>
      <c r="BL43" s="509" t="s">
        <v>358</v>
      </c>
      <c r="BM43" s="546">
        <v>0</v>
      </c>
      <c r="BN43" s="509" t="s">
        <v>700</v>
      </c>
      <c r="BO43" s="509" t="s">
        <v>1</v>
      </c>
      <c r="BP43" s="509" t="s">
        <v>358</v>
      </c>
      <c r="BQ43" s="546">
        <v>0</v>
      </c>
      <c r="BR43" s="509"/>
      <c r="BS43" s="509"/>
      <c r="BT43" s="509"/>
      <c r="BU43" s="481"/>
      <c r="BV43" s="499"/>
      <c r="BW43" s="499"/>
      <c r="BX43" s="516"/>
      <c r="BY43" s="481"/>
      <c r="BZ43" s="499"/>
      <c r="CA43" s="499"/>
      <c r="CB43" s="516"/>
      <c r="CC43" s="481"/>
      <c r="CD43" s="509" t="s">
        <v>292</v>
      </c>
      <c r="CE43" s="509" t="s">
        <v>1</v>
      </c>
      <c r="CF43" s="513">
        <v>0.04798611111111111</v>
      </c>
      <c r="CG43" s="481">
        <v>724.5551601423487</v>
      </c>
      <c r="CH43" s="499"/>
      <c r="CI43" s="499"/>
      <c r="CJ43" s="526"/>
      <c r="CK43" s="481"/>
      <c r="CL43" s="499"/>
      <c r="CM43" s="499"/>
      <c r="CN43" s="526"/>
      <c r="CO43" s="481"/>
      <c r="CP43" s="499" t="s">
        <v>839</v>
      </c>
      <c r="CQ43" s="499" t="s">
        <v>1</v>
      </c>
      <c r="CR43" s="513">
        <v>0.038148148148148146</v>
      </c>
      <c r="CS43" s="481">
        <v>865.7949070887818</v>
      </c>
      <c r="CT43" s="499" t="s">
        <v>839</v>
      </c>
      <c r="CU43" s="499" t="s">
        <v>1</v>
      </c>
      <c r="CV43" s="513">
        <v>0.03405092592592592</v>
      </c>
      <c r="CW43" s="481">
        <v>10</v>
      </c>
      <c r="CX43" s="499" t="s">
        <v>443</v>
      </c>
      <c r="CY43" s="499" t="s">
        <v>1</v>
      </c>
      <c r="CZ43" s="526">
        <v>0.06447916666666666</v>
      </c>
      <c r="DA43" s="481">
        <v>758.6898395721926</v>
      </c>
      <c r="DB43" s="499" t="s">
        <v>443</v>
      </c>
      <c r="DC43" s="499" t="s">
        <v>1</v>
      </c>
      <c r="DD43" s="513">
        <v>0.06353009259259258</v>
      </c>
      <c r="DE43" s="481">
        <v>512.869141154159</v>
      </c>
    </row>
    <row r="44" spans="1:109" ht="12.75">
      <c r="A44" s="504">
        <v>30</v>
      </c>
      <c r="B44" s="505" t="s">
        <v>79</v>
      </c>
      <c r="C44" s="371" t="s">
        <v>10</v>
      </c>
      <c r="D44" s="371" t="s">
        <v>80</v>
      </c>
      <c r="E44" s="495" t="s">
        <v>360</v>
      </c>
      <c r="F44" s="548">
        <v>1969</v>
      </c>
      <c r="G44" s="506">
        <f>H44-AS44-DA44</f>
        <v>6924.228090052834</v>
      </c>
      <c r="H44" s="507">
        <f t="shared" si="0"/>
        <v>7557.479857796284</v>
      </c>
      <c r="I44" s="508">
        <v>14</v>
      </c>
      <c r="J44" s="524"/>
      <c r="K44" s="499"/>
      <c r="M44" s="481"/>
      <c r="N44" s="524"/>
      <c r="O44" s="499"/>
      <c r="Q44" s="481"/>
      <c r="R44" s="524"/>
      <c r="S44" s="499"/>
      <c r="T44" s="516"/>
      <c r="U44" s="481"/>
      <c r="V44" s="524"/>
      <c r="W44" s="499"/>
      <c r="X44" s="516"/>
      <c r="Y44" s="481"/>
      <c r="Z44" s="509" t="s">
        <v>396</v>
      </c>
      <c r="AA44" s="509" t="s">
        <v>158</v>
      </c>
      <c r="AB44" s="513">
        <v>0.015949074074074074</v>
      </c>
      <c r="AC44" s="481">
        <v>467.9371727748691</v>
      </c>
      <c r="AD44" s="509" t="s">
        <v>396</v>
      </c>
      <c r="AE44" s="509" t="s">
        <v>158</v>
      </c>
      <c r="AF44" s="513">
        <v>0.06869212962962963</v>
      </c>
      <c r="AG44" s="481">
        <v>661.1158798283262</v>
      </c>
      <c r="AH44" s="509" t="s">
        <v>396</v>
      </c>
      <c r="AI44" s="509" t="s">
        <v>158</v>
      </c>
      <c r="AJ44" s="513">
        <v>0.044085648148148145</v>
      </c>
      <c r="AK44" s="481">
        <v>692.7861771058315</v>
      </c>
      <c r="AL44" s="509" t="s">
        <v>372</v>
      </c>
      <c r="AM44" s="509" t="s">
        <v>158</v>
      </c>
      <c r="AN44" s="513">
        <v>0.08898148148148148</v>
      </c>
      <c r="AO44" s="481">
        <v>570.7857268412727</v>
      </c>
      <c r="AP44" s="509" t="s">
        <v>372</v>
      </c>
      <c r="AQ44" s="509" t="s">
        <v>2</v>
      </c>
      <c r="AR44" s="513">
        <v>0.031099537037037037</v>
      </c>
      <c r="AS44" s="546">
        <v>303.0930375847197</v>
      </c>
      <c r="AT44" s="509" t="s">
        <v>633</v>
      </c>
      <c r="AU44" s="509" t="s">
        <v>2</v>
      </c>
      <c r="AV44" s="513">
        <v>0.02466435185185185</v>
      </c>
      <c r="AW44" s="481">
        <v>608.7612208258529</v>
      </c>
      <c r="AX44" s="509" t="s">
        <v>633</v>
      </c>
      <c r="AY44" s="509" t="s">
        <v>2</v>
      </c>
      <c r="AZ44" s="513">
        <v>0.038877314814814816</v>
      </c>
      <c r="BA44" s="481">
        <v>517.9077429983527</v>
      </c>
      <c r="BB44" s="509"/>
      <c r="BC44" s="509"/>
      <c r="BD44" s="509"/>
      <c r="BE44" s="481"/>
      <c r="BF44" s="509" t="s">
        <v>741</v>
      </c>
      <c r="BG44" s="509" t="s">
        <v>158</v>
      </c>
      <c r="BH44" s="513">
        <v>0.030659722222222224</v>
      </c>
      <c r="BI44" s="481">
        <v>531.4754098360656</v>
      </c>
      <c r="BJ44" s="509" t="s">
        <v>741</v>
      </c>
      <c r="BK44" s="509" t="s">
        <v>158</v>
      </c>
      <c r="BL44" s="513">
        <v>0.012418981481481482</v>
      </c>
      <c r="BM44" s="481">
        <v>614.3305439330542</v>
      </c>
      <c r="BN44" s="509" t="s">
        <v>741</v>
      </c>
      <c r="BO44" s="509" t="s">
        <v>158</v>
      </c>
      <c r="BP44" s="513">
        <v>0.04090277777777778</v>
      </c>
      <c r="BQ44" s="481">
        <v>598.1199351701782</v>
      </c>
      <c r="BR44" s="509" t="s">
        <v>741</v>
      </c>
      <c r="BS44" s="509" t="s">
        <v>158</v>
      </c>
      <c r="BT44" s="513">
        <v>0.027418981481481485</v>
      </c>
      <c r="BU44" s="481">
        <v>607.6923076923075</v>
      </c>
      <c r="BV44" s="499"/>
      <c r="BW44" s="499"/>
      <c r="BX44" s="516"/>
      <c r="BY44" s="481"/>
      <c r="BZ44" s="499"/>
      <c r="CA44" s="499"/>
      <c r="CB44" s="516"/>
      <c r="CC44" s="481"/>
      <c r="CD44" s="509" t="s">
        <v>372</v>
      </c>
      <c r="CE44" s="509" t="s">
        <v>2</v>
      </c>
      <c r="CF44" s="513">
        <v>0.05545138888888889</v>
      </c>
      <c r="CG44" s="481">
        <v>389.36280884265267</v>
      </c>
      <c r="CH44" s="499"/>
      <c r="CI44" s="499"/>
      <c r="CJ44" s="526"/>
      <c r="CK44" s="481"/>
      <c r="CL44" s="499"/>
      <c r="CM44" s="499"/>
      <c r="CN44" s="526"/>
      <c r="CO44" s="481"/>
      <c r="CP44" s="499"/>
      <c r="CQ44" s="499"/>
      <c r="CR44" s="516"/>
      <c r="CS44" s="481"/>
      <c r="CT44" s="499"/>
      <c r="CU44" s="499"/>
      <c r="CV44" s="516"/>
      <c r="CW44" s="481"/>
      <c r="CX44" s="499" t="s">
        <v>396</v>
      </c>
      <c r="CY44" s="499" t="s">
        <v>2</v>
      </c>
      <c r="CZ44" s="516">
        <v>0.07407407407407407</v>
      </c>
      <c r="DA44" s="546">
        <v>330.15873015873024</v>
      </c>
      <c r="DB44" s="499" t="s">
        <v>396</v>
      </c>
      <c r="DC44" s="499" t="s">
        <v>2</v>
      </c>
      <c r="DD44" s="513">
        <v>0.048576388888888884</v>
      </c>
      <c r="DE44" s="481">
        <v>663.9531642040703</v>
      </c>
    </row>
    <row r="45" spans="1:109" ht="12.75">
      <c r="A45" s="504">
        <v>31</v>
      </c>
      <c r="B45" s="505" t="s">
        <v>259</v>
      </c>
      <c r="C45" s="371" t="s">
        <v>187</v>
      </c>
      <c r="D45" s="371" t="s">
        <v>260</v>
      </c>
      <c r="F45" s="548">
        <v>1973</v>
      </c>
      <c r="G45" s="506">
        <f>H45</f>
        <v>6595.540927208789</v>
      </c>
      <c r="H45" s="507">
        <f t="shared" si="0"/>
        <v>6595.540927208789</v>
      </c>
      <c r="I45" s="508">
        <v>9</v>
      </c>
      <c r="J45" s="524"/>
      <c r="K45" s="499"/>
      <c r="L45" s="516"/>
      <c r="M45" s="481"/>
      <c r="N45" s="524"/>
      <c r="O45" s="499"/>
      <c r="P45" s="516"/>
      <c r="Q45" s="481"/>
      <c r="R45" s="509" t="s">
        <v>292</v>
      </c>
      <c r="S45" s="509" t="s">
        <v>1</v>
      </c>
      <c r="T45" s="513">
        <v>0.0688425925925926</v>
      </c>
      <c r="U45" s="481">
        <v>854.6119776622375</v>
      </c>
      <c r="V45" s="509" t="s">
        <v>292</v>
      </c>
      <c r="W45" s="509" t="s">
        <v>1</v>
      </c>
      <c r="X45" s="513">
        <v>0.05413194444444444</v>
      </c>
      <c r="Y45" s="481">
        <v>883.7708830548927</v>
      </c>
      <c r="Z45" s="509" t="s">
        <v>443</v>
      </c>
      <c r="AA45" s="509" t="s">
        <v>1</v>
      </c>
      <c r="AB45" s="520">
        <v>0.017233796296296296</v>
      </c>
      <c r="AC45" s="481">
        <v>764.8590947907771</v>
      </c>
      <c r="AD45" s="509"/>
      <c r="AE45" s="509"/>
      <c r="AF45" s="501"/>
      <c r="AG45" s="491"/>
      <c r="AH45" s="509" t="s">
        <v>443</v>
      </c>
      <c r="AI45" s="509" t="s">
        <v>1</v>
      </c>
      <c r="AJ45" s="520">
        <v>0.05075231481481481</v>
      </c>
      <c r="AK45" s="481">
        <v>905.9517634854773</v>
      </c>
      <c r="AL45" s="524"/>
      <c r="AM45" s="537"/>
      <c r="AN45" s="526"/>
      <c r="AO45" s="481"/>
      <c r="AP45" s="524"/>
      <c r="AQ45" s="498"/>
      <c r="AR45" s="535"/>
      <c r="AS45" s="481"/>
      <c r="AT45" s="524"/>
      <c r="AU45" s="524"/>
      <c r="AV45" s="526"/>
      <c r="AW45" s="481"/>
      <c r="AX45" s="524"/>
      <c r="AY45" s="524"/>
      <c r="AZ45" s="526"/>
      <c r="BA45" s="481"/>
      <c r="BB45" s="524"/>
      <c r="BC45" s="524"/>
      <c r="BD45" s="516"/>
      <c r="BE45" s="481"/>
      <c r="BF45" s="509" t="s">
        <v>700</v>
      </c>
      <c r="BG45" s="509" t="s">
        <v>1</v>
      </c>
      <c r="BH45" s="513">
        <v>0.02946759259259259</v>
      </c>
      <c r="BI45" s="481">
        <v>800.1885014137606</v>
      </c>
      <c r="BJ45" s="509" t="s">
        <v>700</v>
      </c>
      <c r="BK45" s="509" t="s">
        <v>1</v>
      </c>
      <c r="BL45" s="513">
        <v>0.013020833333333334</v>
      </c>
      <c r="BM45" s="481">
        <v>678.0258519388954</v>
      </c>
      <c r="BN45" s="509" t="s">
        <v>700</v>
      </c>
      <c r="BO45" s="509" t="s">
        <v>1</v>
      </c>
      <c r="BP45" s="509" t="s">
        <v>358</v>
      </c>
      <c r="BQ45" s="481">
        <v>0</v>
      </c>
      <c r="BR45" s="509" t="s">
        <v>700</v>
      </c>
      <c r="BS45" s="509" t="s">
        <v>1</v>
      </c>
      <c r="BT45" s="513">
        <v>0.0375462962962963</v>
      </c>
      <c r="BU45" s="481">
        <v>860.9550561797752</v>
      </c>
      <c r="BV45" s="509" t="s">
        <v>237</v>
      </c>
      <c r="BW45" s="509" t="s">
        <v>1</v>
      </c>
      <c r="BX45" s="513">
        <v>0.04403935185185185</v>
      </c>
      <c r="BY45" s="481">
        <v>847.177798682973</v>
      </c>
      <c r="BZ45" s="509"/>
      <c r="CA45" s="509"/>
      <c r="CB45" s="526"/>
      <c r="CC45" s="481"/>
      <c r="CD45" s="499"/>
      <c r="CE45" s="499"/>
      <c r="CF45" s="516"/>
      <c r="CG45" s="481"/>
      <c r="CH45" s="499"/>
      <c r="CI45" s="499"/>
      <c r="CJ45" s="516"/>
      <c r="CK45" s="481"/>
      <c r="CL45" s="499"/>
      <c r="CM45" s="499"/>
      <c r="CN45" s="516"/>
      <c r="CO45" s="481"/>
      <c r="CP45" s="499"/>
      <c r="CQ45" s="499"/>
      <c r="CR45" s="516"/>
      <c r="CS45" s="481"/>
      <c r="CT45" s="499"/>
      <c r="CU45" s="499"/>
      <c r="CV45" s="516"/>
      <c r="CW45" s="481"/>
      <c r="CX45" s="499"/>
      <c r="CY45" s="499"/>
      <c r="CZ45" s="513"/>
      <c r="DA45" s="481"/>
      <c r="DB45" s="499"/>
      <c r="DC45" s="499"/>
      <c r="DD45" s="516"/>
      <c r="DE45" s="481"/>
    </row>
    <row r="46" spans="1:109" ht="12.75">
      <c r="A46" s="504">
        <v>32</v>
      </c>
      <c r="B46" s="522" t="s">
        <v>504</v>
      </c>
      <c r="C46" s="371" t="s">
        <v>170</v>
      </c>
      <c r="D46" s="371" t="s">
        <v>505</v>
      </c>
      <c r="F46" s="548"/>
      <c r="G46" s="506">
        <f>H46</f>
        <v>6373.818232929872</v>
      </c>
      <c r="H46" s="507">
        <f t="shared" si="0"/>
        <v>6373.818232929872</v>
      </c>
      <c r="I46" s="508">
        <v>8</v>
      </c>
      <c r="J46" s="524"/>
      <c r="K46" s="499"/>
      <c r="M46" s="491"/>
      <c r="N46" s="524"/>
      <c r="O46" s="499"/>
      <c r="P46" s="516"/>
      <c r="Q46" s="481"/>
      <c r="R46" s="524"/>
      <c r="S46" s="499"/>
      <c r="T46" s="516"/>
      <c r="U46" s="481"/>
      <c r="V46" s="524"/>
      <c r="W46" s="499"/>
      <c r="X46" s="516"/>
      <c r="Y46" s="481"/>
      <c r="Z46" s="509" t="s">
        <v>443</v>
      </c>
      <c r="AA46" s="509" t="s">
        <v>1</v>
      </c>
      <c r="AB46" s="520">
        <v>0.015231481481481483</v>
      </c>
      <c r="AC46" s="481">
        <v>919.9829205807001</v>
      </c>
      <c r="AD46" s="509" t="s">
        <v>443</v>
      </c>
      <c r="AE46" s="509" t="s">
        <v>1</v>
      </c>
      <c r="AF46" s="520">
        <v>0.07563657407407408</v>
      </c>
      <c r="AG46" s="481">
        <v>812.1340090090089</v>
      </c>
      <c r="AH46" s="509" t="s">
        <v>443</v>
      </c>
      <c r="AI46" s="509" t="s">
        <v>1</v>
      </c>
      <c r="AJ46" s="501" t="s">
        <v>358</v>
      </c>
      <c r="AK46" s="481">
        <v>0</v>
      </c>
      <c r="AL46" s="524"/>
      <c r="AM46" s="537"/>
      <c r="AO46" s="481"/>
      <c r="AP46" s="524"/>
      <c r="AQ46" s="468"/>
      <c r="AR46" s="535"/>
      <c r="AS46" s="481"/>
      <c r="AT46" s="509" t="s">
        <v>377</v>
      </c>
      <c r="AU46" s="509" t="s">
        <v>1</v>
      </c>
      <c r="AV46" s="513">
        <v>0.02085648148148148</v>
      </c>
      <c r="AW46" s="481">
        <v>957.4275362318843</v>
      </c>
      <c r="AX46" s="509" t="s">
        <v>377</v>
      </c>
      <c r="AY46" s="509" t="s">
        <v>1</v>
      </c>
      <c r="AZ46" s="513">
        <v>0.03733796296296296</v>
      </c>
      <c r="BA46" s="481">
        <v>887.218045112782</v>
      </c>
      <c r="BB46" s="509" t="s">
        <v>377</v>
      </c>
      <c r="BC46" s="509" t="s">
        <v>1</v>
      </c>
      <c r="BD46" s="513">
        <v>0.05137731481481481</v>
      </c>
      <c r="BE46" s="481">
        <v>912.1941896024465</v>
      </c>
      <c r="BF46" s="499"/>
      <c r="BG46" s="499"/>
      <c r="BH46" s="526"/>
      <c r="BI46" s="481"/>
      <c r="BJ46" s="499"/>
      <c r="BK46" s="499"/>
      <c r="BL46" s="516"/>
      <c r="BM46" s="481"/>
      <c r="BN46" s="499"/>
      <c r="BO46" s="499"/>
      <c r="BP46" s="516"/>
      <c r="BQ46" s="481"/>
      <c r="BR46" s="499"/>
      <c r="BS46" s="499"/>
      <c r="BT46" s="516"/>
      <c r="BU46" s="481"/>
      <c r="BV46" s="509" t="s">
        <v>237</v>
      </c>
      <c r="BW46" s="509" t="s">
        <v>1</v>
      </c>
      <c r="BX46" s="513">
        <v>0.03829861111111111</v>
      </c>
      <c r="BY46" s="481">
        <v>1010.4891815616182</v>
      </c>
      <c r="BZ46" s="509" t="s">
        <v>237</v>
      </c>
      <c r="CA46" s="509" t="s">
        <v>1</v>
      </c>
      <c r="CB46" s="513">
        <v>0.08287037037037037</v>
      </c>
      <c r="CC46" s="481">
        <v>874.3723508314312</v>
      </c>
      <c r="CD46" s="499"/>
      <c r="CE46" s="499"/>
      <c r="CF46" s="526"/>
      <c r="CG46" s="481"/>
      <c r="CH46" s="499"/>
      <c r="CI46" s="499"/>
      <c r="CJ46" s="526"/>
      <c r="CK46" s="481"/>
      <c r="CL46" s="499"/>
      <c r="CM46" s="499"/>
      <c r="CN46" s="526"/>
      <c r="CO46" s="481"/>
      <c r="CP46" s="499"/>
      <c r="CQ46" s="499"/>
      <c r="CR46" s="520"/>
      <c r="CS46" s="515"/>
      <c r="CT46" s="509"/>
      <c r="CU46" s="509"/>
      <c r="CV46" s="520"/>
      <c r="CW46" s="515"/>
      <c r="CX46" s="499"/>
      <c r="CY46" s="499"/>
      <c r="CZ46" s="526"/>
      <c r="DA46" s="481"/>
      <c r="DB46" s="509"/>
      <c r="DC46" s="509"/>
      <c r="DD46" s="520"/>
      <c r="DE46" s="515"/>
    </row>
    <row r="47" spans="1:109" ht="12.75">
      <c r="A47" s="504">
        <v>33</v>
      </c>
      <c r="B47" s="505" t="s">
        <v>362</v>
      </c>
      <c r="C47" s="371" t="s">
        <v>10</v>
      </c>
      <c r="D47" s="371" t="s">
        <v>21</v>
      </c>
      <c r="E47" s="495" t="s">
        <v>359</v>
      </c>
      <c r="F47" s="548">
        <v>2003</v>
      </c>
      <c r="G47" s="506">
        <f>H47-BI47-AG47</f>
        <v>6305.817856836757</v>
      </c>
      <c r="H47" s="507">
        <f t="shared" si="0"/>
        <v>6305.817856836757</v>
      </c>
      <c r="I47" s="508">
        <v>14</v>
      </c>
      <c r="J47" s="524" t="s">
        <v>574</v>
      </c>
      <c r="K47" s="499" t="s">
        <v>158</v>
      </c>
      <c r="L47" s="516">
        <v>0.03804398148148148</v>
      </c>
      <c r="M47" s="481">
        <v>630</v>
      </c>
      <c r="N47" s="524"/>
      <c r="O47" s="499"/>
      <c r="P47" s="516"/>
      <c r="Q47" s="481"/>
      <c r="R47" s="524"/>
      <c r="S47" s="499"/>
      <c r="T47" s="516"/>
      <c r="U47" s="481"/>
      <c r="V47" s="524"/>
      <c r="W47" s="499"/>
      <c r="X47" s="516"/>
      <c r="Y47" s="481"/>
      <c r="Z47" s="524" t="s">
        <v>578</v>
      </c>
      <c r="AA47" s="499" t="s">
        <v>172</v>
      </c>
      <c r="AB47" s="516">
        <v>0.012881944444444446</v>
      </c>
      <c r="AC47" s="481">
        <v>599.7287234042552</v>
      </c>
      <c r="AD47" s="524" t="s">
        <v>578</v>
      </c>
      <c r="AE47" s="499" t="s">
        <v>172</v>
      </c>
      <c r="AF47" s="516" t="s">
        <v>358</v>
      </c>
      <c r="AG47" s="546">
        <v>0</v>
      </c>
      <c r="AH47" s="524" t="s">
        <v>578</v>
      </c>
      <c r="AI47" s="499" t="s">
        <v>172</v>
      </c>
      <c r="AJ47" s="516">
        <v>0.03666666666666667</v>
      </c>
      <c r="AK47" s="481">
        <v>602.4590163934425</v>
      </c>
      <c r="AL47" s="509" t="s">
        <v>648</v>
      </c>
      <c r="AM47" s="509" t="s">
        <v>172</v>
      </c>
      <c r="AN47" s="513">
        <v>0.0712037037037037</v>
      </c>
      <c r="AO47" s="481">
        <v>770.0000000000001</v>
      </c>
      <c r="AP47" s="509" t="s">
        <v>648</v>
      </c>
      <c r="AQ47" s="509" t="s">
        <v>158</v>
      </c>
      <c r="AR47" s="513">
        <v>0.01931712962962963</v>
      </c>
      <c r="AS47" s="481">
        <v>770.0000000000001</v>
      </c>
      <c r="AT47" s="509"/>
      <c r="AU47" s="509"/>
      <c r="AV47" s="509"/>
      <c r="AW47" s="481"/>
      <c r="AX47" s="509" t="s">
        <v>632</v>
      </c>
      <c r="AY47" s="509" t="s">
        <v>2</v>
      </c>
      <c r="AZ47" s="513">
        <v>0.04496527777777778</v>
      </c>
      <c r="BA47" s="481">
        <v>335.9308072487645</v>
      </c>
      <c r="BB47" s="509"/>
      <c r="BC47" s="509"/>
      <c r="BD47" s="509"/>
      <c r="BE47" s="481"/>
      <c r="BF47" s="509" t="s">
        <v>739</v>
      </c>
      <c r="BG47" s="509" t="s">
        <v>158</v>
      </c>
      <c r="BH47" s="509" t="s">
        <v>358</v>
      </c>
      <c r="BI47" s="546">
        <v>0</v>
      </c>
      <c r="BJ47" s="509" t="s">
        <v>739</v>
      </c>
      <c r="BK47" s="509" t="s">
        <v>158</v>
      </c>
      <c r="BL47" s="513">
        <v>0.013657407407407408</v>
      </c>
      <c r="BM47" s="481">
        <v>535.9832635983263</v>
      </c>
      <c r="BN47" s="509" t="s">
        <v>739</v>
      </c>
      <c r="BO47" s="509" t="s">
        <v>158</v>
      </c>
      <c r="BP47" s="513">
        <v>0.053252314814814815</v>
      </c>
      <c r="BQ47" s="481">
        <v>356.0129659643436</v>
      </c>
      <c r="BR47" s="509" t="s">
        <v>739</v>
      </c>
      <c r="BS47" s="509" t="s">
        <v>158</v>
      </c>
      <c r="BT47" s="513">
        <v>0.029270833333333333</v>
      </c>
      <c r="BU47" s="481">
        <v>554.1806020066889</v>
      </c>
      <c r="BV47" s="499"/>
      <c r="BW47" s="499"/>
      <c r="BX47" s="516"/>
      <c r="BY47" s="481"/>
      <c r="BZ47" s="499"/>
      <c r="CA47" s="499"/>
      <c r="CB47" s="516"/>
      <c r="CC47" s="481"/>
      <c r="CD47" s="509" t="s">
        <v>649</v>
      </c>
      <c r="CE47" s="509" t="s">
        <v>2</v>
      </c>
      <c r="CF47" s="513">
        <v>0.04929398148148148</v>
      </c>
      <c r="CG47" s="481">
        <v>541.560468140442</v>
      </c>
      <c r="CH47" s="499"/>
      <c r="CI47" s="499"/>
      <c r="CJ47" s="526"/>
      <c r="CK47" s="481"/>
      <c r="CL47" s="499"/>
      <c r="CM47" s="499"/>
      <c r="CN47" s="526"/>
      <c r="CO47" s="481"/>
      <c r="CP47" s="499"/>
      <c r="CQ47" s="499"/>
      <c r="CR47" s="516"/>
      <c r="CS47" s="515"/>
      <c r="CT47" s="509"/>
      <c r="CU47" s="509"/>
      <c r="CV47" s="520"/>
      <c r="CW47" s="515"/>
      <c r="CX47" s="499" t="s">
        <v>871</v>
      </c>
      <c r="CY47" s="499" t="s">
        <v>2</v>
      </c>
      <c r="CZ47" s="526">
        <v>0.08252314814814815</v>
      </c>
      <c r="DA47" s="481">
        <v>185.31746031746027</v>
      </c>
      <c r="DB47" s="499" t="s">
        <v>871</v>
      </c>
      <c r="DC47" s="499" t="s">
        <v>2</v>
      </c>
      <c r="DD47" s="513">
        <v>0.060995370370370366</v>
      </c>
      <c r="DE47" s="481">
        <v>424.6445497630331</v>
      </c>
    </row>
    <row r="48" spans="1:109" ht="12.75">
      <c r="A48" s="504">
        <v>34</v>
      </c>
      <c r="B48" s="522" t="s">
        <v>639</v>
      </c>
      <c r="C48" s="485" t="s">
        <v>187</v>
      </c>
      <c r="D48" s="485" t="s">
        <v>640</v>
      </c>
      <c r="G48" s="506">
        <f>H48</f>
        <v>6288.167206335141</v>
      </c>
      <c r="H48" s="507">
        <f t="shared" si="0"/>
        <v>6288.167206335141</v>
      </c>
      <c r="I48" s="508">
        <v>7</v>
      </c>
      <c r="J48" s="509"/>
      <c r="K48" s="509"/>
      <c r="L48" s="513"/>
      <c r="M48" s="481"/>
      <c r="N48" s="524"/>
      <c r="O48" s="499"/>
      <c r="Q48" s="491"/>
      <c r="R48" s="524"/>
      <c r="S48" s="499"/>
      <c r="T48" s="516"/>
      <c r="U48" s="481"/>
      <c r="V48" s="524"/>
      <c r="W48" s="499"/>
      <c r="X48" s="516"/>
      <c r="Y48" s="481"/>
      <c r="Z48" s="509"/>
      <c r="AA48" s="509"/>
      <c r="AB48" s="520"/>
      <c r="AC48" s="481"/>
      <c r="AD48" s="509"/>
      <c r="AE48" s="509"/>
      <c r="AF48" s="520"/>
      <c r="AG48" s="481"/>
      <c r="AH48" s="509"/>
      <c r="AI48" s="509"/>
      <c r="AJ48" s="520"/>
      <c r="AK48" s="481"/>
      <c r="AL48" s="509" t="s">
        <v>625</v>
      </c>
      <c r="AM48" s="509" t="s">
        <v>1</v>
      </c>
      <c r="AN48" s="513">
        <v>0.09581018518518518</v>
      </c>
      <c r="AO48" s="481">
        <v>842.3438198896677</v>
      </c>
      <c r="AP48" s="509" t="s">
        <v>625</v>
      </c>
      <c r="AQ48" s="509" t="s">
        <v>1</v>
      </c>
      <c r="AR48" s="513">
        <v>0.02390046296296296</v>
      </c>
      <c r="AS48" s="481">
        <v>882.4245939675178</v>
      </c>
      <c r="AT48" s="509" t="s">
        <v>377</v>
      </c>
      <c r="AU48" s="509" t="s">
        <v>1</v>
      </c>
      <c r="AV48" s="513">
        <v>0.020497685185185185</v>
      </c>
      <c r="AW48" s="481">
        <v>977.0833333333334</v>
      </c>
      <c r="AX48" s="509" t="s">
        <v>377</v>
      </c>
      <c r="AY48" s="509" t="s">
        <v>1</v>
      </c>
      <c r="AZ48" s="513">
        <v>0.035787037037037034</v>
      </c>
      <c r="BA48" s="481">
        <v>937.593984962406</v>
      </c>
      <c r="BB48" s="509" t="s">
        <v>377</v>
      </c>
      <c r="BC48" s="509" t="s">
        <v>1</v>
      </c>
      <c r="BD48" s="513">
        <v>0.052465277777777784</v>
      </c>
      <c r="BE48" s="481">
        <v>887.0412844036696</v>
      </c>
      <c r="BF48" s="499"/>
      <c r="BG48" s="499"/>
      <c r="BH48" s="526"/>
      <c r="BI48" s="481"/>
      <c r="BJ48" s="499"/>
      <c r="BK48" s="499"/>
      <c r="BL48" s="516"/>
      <c r="BM48" s="481"/>
      <c r="BN48" s="499"/>
      <c r="BO48" s="499"/>
      <c r="BP48" s="516"/>
      <c r="BQ48" s="481"/>
      <c r="BR48" s="499"/>
      <c r="BS48" s="499"/>
      <c r="BT48" s="526"/>
      <c r="BU48" s="481"/>
      <c r="BV48" s="509" t="s">
        <v>237</v>
      </c>
      <c r="BW48" s="509" t="s">
        <v>1</v>
      </c>
      <c r="BX48" s="513">
        <v>0.04259259259259259</v>
      </c>
      <c r="BY48" s="481">
        <v>888.3349012229542</v>
      </c>
      <c r="BZ48" s="509" t="s">
        <v>237</v>
      </c>
      <c r="CA48" s="509" t="s">
        <v>1</v>
      </c>
      <c r="CB48" s="513">
        <v>0.08293981481481481</v>
      </c>
      <c r="CC48" s="481">
        <v>873.3452885555917</v>
      </c>
      <c r="CD48" s="499"/>
      <c r="CE48" s="499"/>
      <c r="CF48" s="526"/>
      <c r="CG48" s="481"/>
      <c r="CH48" s="499"/>
      <c r="CI48" s="499"/>
      <c r="CJ48" s="526"/>
      <c r="CK48" s="481"/>
      <c r="CL48" s="499"/>
      <c r="CM48" s="499"/>
      <c r="CN48" s="526"/>
      <c r="CO48" s="481"/>
      <c r="CP48" s="499"/>
      <c r="CQ48" s="499"/>
      <c r="CR48" s="526"/>
      <c r="CS48" s="481"/>
      <c r="CT48" s="499"/>
      <c r="CU48" s="499"/>
      <c r="CV48" s="526"/>
      <c r="CW48" s="481"/>
      <c r="CX48" s="499"/>
      <c r="CY48" s="499"/>
      <c r="CZ48" s="526"/>
      <c r="DA48" s="481"/>
      <c r="DB48" s="499"/>
      <c r="DC48" s="499"/>
      <c r="DD48" s="516"/>
      <c r="DE48" s="481"/>
    </row>
    <row r="49" spans="1:109" ht="12.75">
      <c r="A49" s="504">
        <v>35</v>
      </c>
      <c r="B49" s="505" t="s">
        <v>38</v>
      </c>
      <c r="C49" s="371" t="s">
        <v>10</v>
      </c>
      <c r="D49" s="371" t="s">
        <v>39</v>
      </c>
      <c r="E49" s="495" t="s">
        <v>375</v>
      </c>
      <c r="F49" s="548">
        <v>1962</v>
      </c>
      <c r="G49" s="506">
        <f>H49-CG49-BU49-DE49</f>
        <v>6190.201227381457</v>
      </c>
      <c r="H49" s="507">
        <f t="shared" si="0"/>
        <v>6905.862460120558</v>
      </c>
      <c r="I49" s="508">
        <v>15</v>
      </c>
      <c r="J49" s="524" t="s">
        <v>572</v>
      </c>
      <c r="K49" s="499" t="s">
        <v>2</v>
      </c>
      <c r="L49" s="516">
        <v>0.04002314814814815</v>
      </c>
      <c r="M49" s="481">
        <v>629.3333333333333</v>
      </c>
      <c r="N49" s="524"/>
      <c r="O49" s="499"/>
      <c r="Q49" s="491"/>
      <c r="R49" s="524"/>
      <c r="S49" s="499"/>
      <c r="T49" s="516"/>
      <c r="U49" s="481"/>
      <c r="V49" s="524"/>
      <c r="W49" s="499"/>
      <c r="X49" s="516"/>
      <c r="Y49" s="481"/>
      <c r="Z49" s="524" t="s">
        <v>577</v>
      </c>
      <c r="AA49" s="499" t="s">
        <v>172</v>
      </c>
      <c r="AB49" s="516">
        <v>0.016793981481481483</v>
      </c>
      <c r="AC49" s="481">
        <v>335.44148936170205</v>
      </c>
      <c r="AD49" s="524" t="s">
        <v>577</v>
      </c>
      <c r="AE49" s="499" t="s">
        <v>172</v>
      </c>
      <c r="AF49" s="516">
        <v>0.05842592592592593</v>
      </c>
      <c r="AG49" s="481">
        <v>572.4963715529753</v>
      </c>
      <c r="AH49" s="524" t="s">
        <v>577</v>
      </c>
      <c r="AI49" s="499" t="s">
        <v>172</v>
      </c>
      <c r="AJ49" s="516">
        <v>0.04262731481481482</v>
      </c>
      <c r="AK49" s="481">
        <v>461.42883755588656</v>
      </c>
      <c r="AL49" s="509" t="s">
        <v>651</v>
      </c>
      <c r="AM49" s="509" t="s">
        <v>172</v>
      </c>
      <c r="AN49" s="513">
        <v>0.07231481481481482</v>
      </c>
      <c r="AO49" s="481">
        <v>757.9843953185955</v>
      </c>
      <c r="AP49" s="509" t="s">
        <v>651</v>
      </c>
      <c r="AQ49" s="509" t="s">
        <v>158</v>
      </c>
      <c r="AR49" s="513">
        <v>0.02854166666666667</v>
      </c>
      <c r="AS49" s="481">
        <v>402.3007789095265</v>
      </c>
      <c r="AT49" s="499"/>
      <c r="AU49" s="499"/>
      <c r="AV49" s="516"/>
      <c r="AW49" s="481"/>
      <c r="AX49" s="499"/>
      <c r="AY49" s="499"/>
      <c r="AZ49" s="498"/>
      <c r="BA49" s="481"/>
      <c r="BB49" s="499"/>
      <c r="BC49" s="499"/>
      <c r="BD49" s="516"/>
      <c r="BE49" s="481"/>
      <c r="BF49" s="509" t="s">
        <v>743</v>
      </c>
      <c r="BG49" s="509" t="s">
        <v>158</v>
      </c>
      <c r="BH49" s="513">
        <v>0.03796296296296296</v>
      </c>
      <c r="BI49" s="546">
        <v>324.5901639344263</v>
      </c>
      <c r="BJ49" s="509" t="s">
        <v>743</v>
      </c>
      <c r="BK49" s="509" t="s">
        <v>158</v>
      </c>
      <c r="BL49" s="513">
        <v>0.014583333333333332</v>
      </c>
      <c r="BM49" s="481">
        <v>477.4058577405858</v>
      </c>
      <c r="BN49" s="509" t="s">
        <v>743</v>
      </c>
      <c r="BO49" s="509" t="s">
        <v>158</v>
      </c>
      <c r="BP49" s="513">
        <v>0.05137731481481481</v>
      </c>
      <c r="BQ49" s="481">
        <v>392.77147487844417</v>
      </c>
      <c r="BR49" s="509" t="s">
        <v>743</v>
      </c>
      <c r="BS49" s="509" t="s">
        <v>158</v>
      </c>
      <c r="BT49" s="513">
        <v>0.04082175925925926</v>
      </c>
      <c r="BU49" s="546">
        <v>220.40133779264207</v>
      </c>
      <c r="BV49" s="499"/>
      <c r="BW49" s="499"/>
      <c r="BX49" s="526"/>
      <c r="BY49" s="481"/>
      <c r="BZ49" s="499"/>
      <c r="CA49" s="499"/>
      <c r="CB49" s="526"/>
      <c r="CC49" s="481"/>
      <c r="CD49" s="509" t="s">
        <v>651</v>
      </c>
      <c r="CE49" s="509" t="s">
        <v>2</v>
      </c>
      <c r="CF49" s="513">
        <v>0.06417824074074074</v>
      </c>
      <c r="CG49" s="546">
        <v>173.65409622886844</v>
      </c>
      <c r="CH49" s="499"/>
      <c r="CI49" s="499"/>
      <c r="CJ49" s="526"/>
      <c r="CK49" s="481"/>
      <c r="CL49" s="499"/>
      <c r="CM49" s="499"/>
      <c r="CN49" s="526"/>
      <c r="CO49" s="481"/>
      <c r="CP49" s="499" t="s">
        <v>855</v>
      </c>
      <c r="CQ49" s="499" t="s">
        <v>2</v>
      </c>
      <c r="CR49" s="513">
        <v>0.04383101851851851</v>
      </c>
      <c r="CS49" s="481">
        <v>649.0897677338356</v>
      </c>
      <c r="CT49" s="499" t="s">
        <v>855</v>
      </c>
      <c r="CU49" s="499" t="s">
        <v>2</v>
      </c>
      <c r="CV49" s="513">
        <v>0.01783564814814815</v>
      </c>
      <c r="CW49" s="481">
        <v>691.5254237288135</v>
      </c>
      <c r="CX49" s="499" t="s">
        <v>872</v>
      </c>
      <c r="CY49" s="499" t="s">
        <v>2</v>
      </c>
      <c r="CZ49" s="526">
        <v>0.06440972222222223</v>
      </c>
      <c r="DA49" s="481">
        <v>495.8333333333332</v>
      </c>
      <c r="DB49" s="499" t="s">
        <v>872</v>
      </c>
      <c r="DC49" s="499" t="s">
        <v>2</v>
      </c>
      <c r="DD49" s="513">
        <v>0.06634259259259259</v>
      </c>
      <c r="DE49" s="546">
        <v>321.6057987175912</v>
      </c>
    </row>
    <row r="50" spans="1:109" ht="12.75">
      <c r="A50" s="504">
        <v>36</v>
      </c>
      <c r="B50" s="522" t="s">
        <v>517</v>
      </c>
      <c r="C50" s="371" t="s">
        <v>170</v>
      </c>
      <c r="D50" s="371" t="s">
        <v>518</v>
      </c>
      <c r="G50" s="506">
        <f>H50</f>
        <v>6097.904941247099</v>
      </c>
      <c r="H50" s="507">
        <f t="shared" si="0"/>
        <v>6097.904941247099</v>
      </c>
      <c r="I50" s="508">
        <v>8</v>
      </c>
      <c r="J50" s="524"/>
      <c r="K50" s="499"/>
      <c r="M50" s="491"/>
      <c r="N50" s="524"/>
      <c r="O50" s="499"/>
      <c r="P50" s="516"/>
      <c r="Q50" s="481"/>
      <c r="R50" s="524"/>
      <c r="S50" s="499"/>
      <c r="T50" s="516"/>
      <c r="U50" s="481"/>
      <c r="V50" s="524"/>
      <c r="W50" s="499"/>
      <c r="X50" s="516"/>
      <c r="Y50" s="481"/>
      <c r="Z50" s="509" t="s">
        <v>443</v>
      </c>
      <c r="AA50" s="509" t="s">
        <v>1</v>
      </c>
      <c r="AB50" s="520">
        <v>0.01730324074074074</v>
      </c>
      <c r="AC50" s="481">
        <v>759.4790777113578</v>
      </c>
      <c r="AD50" s="509" t="s">
        <v>443</v>
      </c>
      <c r="AE50" s="509" t="s">
        <v>1</v>
      </c>
      <c r="AF50" s="520">
        <v>0.07413194444444444</v>
      </c>
      <c r="AG50" s="481">
        <v>837.7533783783786</v>
      </c>
      <c r="AH50" s="509" t="s">
        <v>443</v>
      </c>
      <c r="AI50" s="509" t="s">
        <v>1</v>
      </c>
      <c r="AJ50" s="501" t="s">
        <v>358</v>
      </c>
      <c r="AK50" s="481">
        <v>0</v>
      </c>
      <c r="AL50" s="524"/>
      <c r="AM50" s="537"/>
      <c r="AN50" s="516"/>
      <c r="AO50" s="481"/>
      <c r="AP50" s="524"/>
      <c r="AQ50" s="524"/>
      <c r="AR50" s="516"/>
      <c r="AS50" s="481"/>
      <c r="AT50" s="509" t="s">
        <v>377</v>
      </c>
      <c r="AU50" s="509" t="s">
        <v>1</v>
      </c>
      <c r="AV50" s="513">
        <v>0.020555555555555556</v>
      </c>
      <c r="AW50" s="481">
        <v>973.9130434782611</v>
      </c>
      <c r="AX50" s="509" t="s">
        <v>377</v>
      </c>
      <c r="AY50" s="509" t="s">
        <v>1</v>
      </c>
      <c r="AZ50" s="513">
        <v>0.038252314814814815</v>
      </c>
      <c r="BA50" s="481">
        <v>857.518796992481</v>
      </c>
      <c r="BB50" s="509" t="s">
        <v>377</v>
      </c>
      <c r="BC50" s="509" t="s">
        <v>1</v>
      </c>
      <c r="BD50" s="513">
        <v>0.049108796296296296</v>
      </c>
      <c r="BE50" s="481">
        <v>964.6406727828746</v>
      </c>
      <c r="BF50" s="499"/>
      <c r="BG50" s="499"/>
      <c r="BH50" s="516"/>
      <c r="BI50" s="481"/>
      <c r="BJ50" s="499"/>
      <c r="BK50" s="499"/>
      <c r="BL50" s="516"/>
      <c r="BM50" s="491"/>
      <c r="BN50" s="499"/>
      <c r="BO50" s="499"/>
      <c r="BP50" s="516"/>
      <c r="BQ50" s="481"/>
      <c r="BR50" s="499"/>
      <c r="BS50" s="499"/>
      <c r="BT50" s="516"/>
      <c r="BU50" s="481"/>
      <c r="BV50" s="509" t="s">
        <v>237</v>
      </c>
      <c r="BW50" s="509" t="s">
        <v>1</v>
      </c>
      <c r="BX50" s="513">
        <v>0.044641203703703704</v>
      </c>
      <c r="BY50" s="481">
        <v>830.0564440263407</v>
      </c>
      <c r="BZ50" s="509" t="s">
        <v>237</v>
      </c>
      <c r="CA50" s="509" t="s">
        <v>1</v>
      </c>
      <c r="CB50" s="513">
        <v>0.08285879629629629</v>
      </c>
      <c r="CC50" s="481">
        <v>874.5435278774045</v>
      </c>
      <c r="CD50" s="499"/>
      <c r="CE50" s="499"/>
      <c r="CF50" s="516"/>
      <c r="CG50" s="481"/>
      <c r="CH50" s="499"/>
      <c r="CI50" s="499"/>
      <c r="CJ50" s="516"/>
      <c r="CK50" s="481"/>
      <c r="CL50" s="499"/>
      <c r="CM50" s="499"/>
      <c r="CN50" s="516"/>
      <c r="CO50" s="481"/>
      <c r="CP50" s="499"/>
      <c r="CQ50" s="499"/>
      <c r="CR50" s="516"/>
      <c r="CS50" s="481"/>
      <c r="CT50" s="499"/>
      <c r="CU50" s="499"/>
      <c r="CV50" s="516"/>
      <c r="CW50" s="481"/>
      <c r="CX50" s="499"/>
      <c r="CY50" s="499"/>
      <c r="CZ50" s="516"/>
      <c r="DA50" s="481"/>
      <c r="DB50" s="499"/>
      <c r="DC50" s="499"/>
      <c r="DD50" s="516"/>
      <c r="DE50" s="481"/>
    </row>
    <row r="51" spans="1:109" ht="12.75">
      <c r="A51" s="504">
        <v>37</v>
      </c>
      <c r="B51" s="522" t="s">
        <v>555</v>
      </c>
      <c r="C51" s="371" t="s">
        <v>170</v>
      </c>
      <c r="F51" s="548"/>
      <c r="G51" s="506">
        <f>H51</f>
        <v>6065.216957859002</v>
      </c>
      <c r="H51" s="507">
        <f t="shared" si="0"/>
        <v>6065.216957859002</v>
      </c>
      <c r="I51" s="508">
        <v>7</v>
      </c>
      <c r="J51" s="524"/>
      <c r="K51" s="499"/>
      <c r="M51" s="491"/>
      <c r="N51" s="524"/>
      <c r="O51" s="499"/>
      <c r="Q51" s="491"/>
      <c r="R51" s="509" t="s">
        <v>292</v>
      </c>
      <c r="S51" s="509" t="s">
        <v>1</v>
      </c>
      <c r="T51" s="513">
        <v>0.06797453703703704</v>
      </c>
      <c r="U51" s="481">
        <v>869.0544964375117</v>
      </c>
      <c r="V51" s="509" t="s">
        <v>292</v>
      </c>
      <c r="W51" s="509" t="s">
        <v>1</v>
      </c>
      <c r="X51" s="513">
        <v>0.054178240740740735</v>
      </c>
      <c r="Y51" s="481">
        <v>882.8162291169455</v>
      </c>
      <c r="Z51" s="524"/>
      <c r="AA51" s="499"/>
      <c r="AC51" s="481"/>
      <c r="AD51" s="524"/>
      <c r="AE51" s="524"/>
      <c r="AG51" s="491"/>
      <c r="AH51" s="509"/>
      <c r="AI51" s="509"/>
      <c r="AJ51" s="473"/>
      <c r="AK51" s="481"/>
      <c r="AL51" s="524"/>
      <c r="AM51" s="524"/>
      <c r="AN51" s="516"/>
      <c r="AO51" s="481"/>
      <c r="AP51" s="524"/>
      <c r="AQ51" s="499"/>
      <c r="AR51" s="535"/>
      <c r="AS51" s="481"/>
      <c r="AT51" s="509" t="s">
        <v>377</v>
      </c>
      <c r="AU51" s="509" t="s">
        <v>1</v>
      </c>
      <c r="AV51" s="513">
        <v>0.02578703703703704</v>
      </c>
      <c r="AW51" s="481">
        <v>687.3188405797101</v>
      </c>
      <c r="AX51" s="509" t="s">
        <v>377</v>
      </c>
      <c r="AY51" s="509" t="s">
        <v>1</v>
      </c>
      <c r="AZ51" s="513">
        <v>0.036377314814814814</v>
      </c>
      <c r="BA51" s="481">
        <v>918.4210526315788</v>
      </c>
      <c r="BB51" s="509" t="s">
        <v>377</v>
      </c>
      <c r="BC51" s="509" t="s">
        <v>1</v>
      </c>
      <c r="BD51" s="513">
        <v>0.051909722222222225</v>
      </c>
      <c r="BE51" s="481">
        <v>899.8853211009173</v>
      </c>
      <c r="BF51" s="499"/>
      <c r="BG51" s="499"/>
      <c r="BH51" s="526"/>
      <c r="BI51" s="481"/>
      <c r="BJ51" s="499"/>
      <c r="BK51" s="499"/>
      <c r="BL51" s="516"/>
      <c r="BM51" s="481"/>
      <c r="BN51" s="499"/>
      <c r="BO51" s="499"/>
      <c r="BP51" s="516"/>
      <c r="BQ51" s="481"/>
      <c r="BR51" s="499"/>
      <c r="BS51" s="499"/>
      <c r="BT51" s="516"/>
      <c r="BU51" s="481"/>
      <c r="BV51" s="509" t="s">
        <v>237</v>
      </c>
      <c r="BW51" s="509" t="s">
        <v>1</v>
      </c>
      <c r="BX51" s="513">
        <v>0.04137731481481482</v>
      </c>
      <c r="BY51" s="481">
        <v>922.9068673565382</v>
      </c>
      <c r="BZ51" s="509" t="s">
        <v>237</v>
      </c>
      <c r="CA51" s="509" t="s">
        <v>1</v>
      </c>
      <c r="CB51" s="513">
        <v>0.08216435185185185</v>
      </c>
      <c r="CC51" s="481">
        <v>884.8141506358003</v>
      </c>
      <c r="CD51" s="499"/>
      <c r="CE51" s="499"/>
      <c r="CF51" s="516"/>
      <c r="CG51" s="481"/>
      <c r="CH51" s="499"/>
      <c r="CI51" s="499"/>
      <c r="CJ51" s="516"/>
      <c r="CK51" s="481"/>
      <c r="CL51" s="499"/>
      <c r="CM51" s="499"/>
      <c r="CN51" s="516"/>
      <c r="CO51" s="481"/>
      <c r="CP51" s="499"/>
      <c r="CQ51" s="499"/>
      <c r="CR51" s="516"/>
      <c r="CS51" s="481"/>
      <c r="CT51" s="499"/>
      <c r="CU51" s="499"/>
      <c r="CV51" s="516"/>
      <c r="CW51" s="481"/>
      <c r="CX51" s="499"/>
      <c r="CY51" s="499"/>
      <c r="CZ51" s="526"/>
      <c r="DA51" s="481"/>
      <c r="DB51" s="509"/>
      <c r="DC51" s="509"/>
      <c r="DD51" s="520"/>
      <c r="DE51" s="515"/>
    </row>
    <row r="52" spans="1:109" ht="12.75">
      <c r="A52" s="504">
        <v>38</v>
      </c>
      <c r="B52" s="505" t="s">
        <v>149</v>
      </c>
      <c r="C52" s="371" t="s">
        <v>10</v>
      </c>
      <c r="D52" s="371" t="s">
        <v>150</v>
      </c>
      <c r="E52" s="495" t="s">
        <v>375</v>
      </c>
      <c r="F52" s="548">
        <v>1949</v>
      </c>
      <c r="G52" s="506">
        <f>H52-AS52-BM52-BQ52-AC52-BI52-BU52</f>
        <v>5886.562874479258</v>
      </c>
      <c r="H52" s="507">
        <f t="shared" si="0"/>
        <v>6535.548633426563</v>
      </c>
      <c r="I52" s="508">
        <v>18</v>
      </c>
      <c r="J52" s="524"/>
      <c r="K52" s="499"/>
      <c r="M52" s="491"/>
      <c r="N52" s="524" t="s">
        <v>64</v>
      </c>
      <c r="O52" s="499" t="s">
        <v>2</v>
      </c>
      <c r="P52" s="516">
        <v>0.07193287037037037</v>
      </c>
      <c r="Q52" s="481">
        <v>431.21767748001895</v>
      </c>
      <c r="R52" s="524"/>
      <c r="S52" s="499"/>
      <c r="T52" s="516"/>
      <c r="U52" s="481"/>
      <c r="V52" s="524"/>
      <c r="W52" s="499"/>
      <c r="X52" s="516"/>
      <c r="Y52" s="481"/>
      <c r="Z52" s="524" t="s">
        <v>579</v>
      </c>
      <c r="AA52" s="499" t="s">
        <v>172</v>
      </c>
      <c r="AB52" s="516">
        <v>0.021550925925925928</v>
      </c>
      <c r="AC52" s="546">
        <v>14.07446808510628</v>
      </c>
      <c r="AD52" s="524" t="s">
        <v>579</v>
      </c>
      <c r="AE52" s="499" t="s">
        <v>172</v>
      </c>
      <c r="AF52" s="516">
        <v>0.07253472222222222</v>
      </c>
      <c r="AG52" s="481">
        <v>355.7656023222062</v>
      </c>
      <c r="AH52" s="524" t="s">
        <v>579</v>
      </c>
      <c r="AI52" s="499" t="s">
        <v>172</v>
      </c>
      <c r="AJ52" s="516">
        <v>0.04442129629629629</v>
      </c>
      <c r="AK52" s="481">
        <v>418.9828614008943</v>
      </c>
      <c r="AL52" s="509" t="s">
        <v>652</v>
      </c>
      <c r="AM52" s="509" t="s">
        <v>173</v>
      </c>
      <c r="AN52" s="513">
        <v>0.06461805555555555</v>
      </c>
      <c r="AO52" s="481">
        <v>660</v>
      </c>
      <c r="AP52" s="509" t="s">
        <v>652</v>
      </c>
      <c r="AQ52" s="509" t="s">
        <v>172</v>
      </c>
      <c r="AR52" s="501" t="s">
        <v>358</v>
      </c>
      <c r="AS52" s="546">
        <v>0</v>
      </c>
      <c r="AT52" s="509" t="s">
        <v>383</v>
      </c>
      <c r="AU52" s="509" t="s">
        <v>172</v>
      </c>
      <c r="AV52" s="513">
        <v>0.01986111111111111</v>
      </c>
      <c r="AW52" s="481">
        <v>582.2068965517241</v>
      </c>
      <c r="AX52" s="509" t="s">
        <v>383</v>
      </c>
      <c r="AY52" s="509" t="s">
        <v>172</v>
      </c>
      <c r="AZ52" s="513">
        <v>0.03009259259259259</v>
      </c>
      <c r="BA52" s="481">
        <v>574.3574717455004</v>
      </c>
      <c r="BB52" s="509" t="s">
        <v>383</v>
      </c>
      <c r="BC52" s="509" t="s">
        <v>172</v>
      </c>
      <c r="BD52" s="513">
        <v>0.025567129629629634</v>
      </c>
      <c r="BE52" s="481">
        <v>605.4045155221072</v>
      </c>
      <c r="BF52" s="509" t="s">
        <v>743</v>
      </c>
      <c r="BG52" s="509" t="s">
        <v>158</v>
      </c>
      <c r="BH52" s="513">
        <v>0.04005787037037037</v>
      </c>
      <c r="BI52" s="546">
        <v>265.2459016393443</v>
      </c>
      <c r="BJ52" s="509" t="s">
        <v>743</v>
      </c>
      <c r="BK52" s="509" t="s">
        <v>158</v>
      </c>
      <c r="BL52" s="509" t="s">
        <v>358</v>
      </c>
      <c r="BM52" s="546">
        <v>0</v>
      </c>
      <c r="BN52" s="509" t="s">
        <v>743</v>
      </c>
      <c r="BO52" s="509" t="s">
        <v>158</v>
      </c>
      <c r="BP52" s="513">
        <v>0.06292824074074074</v>
      </c>
      <c r="BQ52" s="546">
        <v>166.32090761750396</v>
      </c>
      <c r="BR52" s="509" t="s">
        <v>743</v>
      </c>
      <c r="BS52" s="509" t="s">
        <v>158</v>
      </c>
      <c r="BT52" s="513">
        <v>0.04141203703703704</v>
      </c>
      <c r="BU52" s="546">
        <v>203.34448160535098</v>
      </c>
      <c r="BV52" s="499"/>
      <c r="BW52" s="499"/>
      <c r="BX52" s="526"/>
      <c r="BY52" s="481"/>
      <c r="BZ52" s="499"/>
      <c r="CA52" s="499"/>
      <c r="CB52" s="526"/>
      <c r="CC52" s="481"/>
      <c r="CD52" s="509" t="s">
        <v>652</v>
      </c>
      <c r="CE52" s="509" t="s">
        <v>158</v>
      </c>
      <c r="CF52" s="512">
        <v>0.040682870370370376</v>
      </c>
      <c r="CG52" s="481">
        <v>696.0492672279389</v>
      </c>
      <c r="CH52" s="499" t="s">
        <v>223</v>
      </c>
      <c r="CI52" s="499" t="s">
        <v>158</v>
      </c>
      <c r="CJ52" s="513">
        <v>0.013784722222222224</v>
      </c>
      <c r="CK52" s="481">
        <v>331.1538461538461</v>
      </c>
      <c r="CL52" s="499" t="s">
        <v>223</v>
      </c>
      <c r="CM52" s="499" t="s">
        <v>158</v>
      </c>
      <c r="CN52" s="513">
        <v>0.06092592592592593</v>
      </c>
      <c r="CO52" s="481">
        <v>377.0127706829539</v>
      </c>
      <c r="CP52" s="499" t="s">
        <v>855</v>
      </c>
      <c r="CQ52" s="499" t="s">
        <v>2</v>
      </c>
      <c r="CR52" s="513">
        <v>0.0475462962962963</v>
      </c>
      <c r="CS52" s="481">
        <v>568.4871311989955</v>
      </c>
      <c r="CT52" s="499" t="s">
        <v>855</v>
      </c>
      <c r="CU52" s="499" t="s">
        <v>2</v>
      </c>
      <c r="CV52" s="513">
        <v>0.02579861111111111</v>
      </c>
      <c r="CW52" s="481">
        <v>285.924834193073</v>
      </c>
      <c r="CX52" s="499"/>
      <c r="CY52" s="499"/>
      <c r="CZ52" s="526"/>
      <c r="DA52" s="481"/>
      <c r="DB52" s="499"/>
      <c r="DC52" s="499"/>
      <c r="DD52" s="516"/>
      <c r="DE52" s="481"/>
    </row>
    <row r="53" spans="1:109" ht="12.75">
      <c r="A53" s="504">
        <v>39</v>
      </c>
      <c r="B53" s="522" t="s">
        <v>239</v>
      </c>
      <c r="C53" s="371" t="s">
        <v>187</v>
      </c>
      <c r="D53" s="371" t="s">
        <v>539</v>
      </c>
      <c r="F53" s="548"/>
      <c r="G53" s="506">
        <f>H53</f>
        <v>5779.641595171362</v>
      </c>
      <c r="H53" s="507">
        <f t="shared" si="0"/>
        <v>5779.641595171362</v>
      </c>
      <c r="I53" s="508">
        <v>8</v>
      </c>
      <c r="J53" s="524"/>
      <c r="K53" s="499"/>
      <c r="M53" s="491"/>
      <c r="N53" s="524"/>
      <c r="O53" s="499"/>
      <c r="P53" s="516"/>
      <c r="Q53" s="481"/>
      <c r="R53" s="524"/>
      <c r="S53" s="499"/>
      <c r="T53" s="516"/>
      <c r="U53" s="481"/>
      <c r="V53" s="524"/>
      <c r="W53" s="499"/>
      <c r="X53" s="516"/>
      <c r="Y53" s="481"/>
      <c r="Z53" s="509" t="s">
        <v>443</v>
      </c>
      <c r="AA53" s="509" t="s">
        <v>1</v>
      </c>
      <c r="AB53" s="520" t="s">
        <v>358</v>
      </c>
      <c r="AC53" s="481">
        <v>0</v>
      </c>
      <c r="AD53" s="509" t="s">
        <v>443</v>
      </c>
      <c r="AE53" s="509" t="s">
        <v>1</v>
      </c>
      <c r="AF53" s="520">
        <v>0.07094907407407407</v>
      </c>
      <c r="AG53" s="481">
        <v>891.9481981981984</v>
      </c>
      <c r="AH53" s="509" t="s">
        <v>443</v>
      </c>
      <c r="AI53" s="509" t="s">
        <v>1</v>
      </c>
      <c r="AJ53" s="520">
        <v>0.04918981481481482</v>
      </c>
      <c r="AK53" s="481">
        <v>942.7126556016597</v>
      </c>
      <c r="AL53" s="524"/>
      <c r="AM53" s="537"/>
      <c r="AN53" s="516"/>
      <c r="AO53" s="481"/>
      <c r="AP53" s="524"/>
      <c r="AQ53" s="524"/>
      <c r="AR53" s="535"/>
      <c r="AS53" s="481"/>
      <c r="AT53" s="509" t="s">
        <v>377</v>
      </c>
      <c r="AU53" s="509" t="s">
        <v>1</v>
      </c>
      <c r="AV53" s="513">
        <v>0.020069444444444442</v>
      </c>
      <c r="AW53" s="481">
        <v>1000.54347826087</v>
      </c>
      <c r="AX53" s="509" t="s">
        <v>377</v>
      </c>
      <c r="AY53" s="509" t="s">
        <v>1</v>
      </c>
      <c r="AZ53" s="513">
        <v>0.03445601851851852</v>
      </c>
      <c r="BA53" s="481">
        <v>980.8270676691728</v>
      </c>
      <c r="BB53" s="509" t="s">
        <v>377</v>
      </c>
      <c r="BC53" s="509" t="s">
        <v>1</v>
      </c>
      <c r="BD53" s="513">
        <v>0.04894675925925926</v>
      </c>
      <c r="BE53" s="481">
        <v>968.3868501529053</v>
      </c>
      <c r="BF53" s="499"/>
      <c r="BG53" s="499"/>
      <c r="BH53" s="516"/>
      <c r="BI53" s="481"/>
      <c r="BJ53" s="499"/>
      <c r="BK53" s="499"/>
      <c r="BL53" s="516"/>
      <c r="BM53" s="481"/>
      <c r="BN53" s="499"/>
      <c r="BO53" s="499"/>
      <c r="BP53" s="516"/>
      <c r="BQ53" s="481"/>
      <c r="BR53" s="499"/>
      <c r="BS53" s="499"/>
      <c r="BT53" s="516"/>
      <c r="BU53" s="481"/>
      <c r="BV53" s="509" t="s">
        <v>237</v>
      </c>
      <c r="BW53" s="509" t="s">
        <v>1</v>
      </c>
      <c r="BX53" s="509" t="s">
        <v>358</v>
      </c>
      <c r="BY53" s="481">
        <v>0</v>
      </c>
      <c r="BZ53" s="509" t="s">
        <v>237</v>
      </c>
      <c r="CA53" s="509" t="s">
        <v>1</v>
      </c>
      <c r="CB53" s="513">
        <v>0.07469907407407407</v>
      </c>
      <c r="CC53" s="481">
        <v>995.2233452885556</v>
      </c>
      <c r="CD53" s="499"/>
      <c r="CE53" s="499"/>
      <c r="CF53" s="516"/>
      <c r="CG53" s="481"/>
      <c r="CH53" s="499"/>
      <c r="CI53" s="499"/>
      <c r="CJ53" s="516"/>
      <c r="CK53" s="481"/>
      <c r="CL53" s="499"/>
      <c r="CM53" s="499"/>
      <c r="CN53" s="516"/>
      <c r="CO53" s="481"/>
      <c r="CP53" s="499"/>
      <c r="CQ53" s="499"/>
      <c r="CR53" s="516"/>
      <c r="CS53" s="481"/>
      <c r="CT53" s="499"/>
      <c r="CU53" s="499"/>
      <c r="CV53" s="516"/>
      <c r="CW53" s="481"/>
      <c r="CX53" s="499"/>
      <c r="CY53" s="499"/>
      <c r="CZ53" s="526"/>
      <c r="DA53" s="481"/>
      <c r="DB53" s="499"/>
      <c r="DC53" s="499"/>
      <c r="DD53" s="526"/>
      <c r="DE53" s="481"/>
    </row>
    <row r="54" spans="1:109" ht="12.75">
      <c r="A54" s="504">
        <v>40</v>
      </c>
      <c r="B54" s="505" t="s">
        <v>32</v>
      </c>
      <c r="C54" s="371" t="s">
        <v>10</v>
      </c>
      <c r="D54" s="371" t="s">
        <v>356</v>
      </c>
      <c r="E54" s="495" t="s">
        <v>360</v>
      </c>
      <c r="F54" s="548">
        <v>1974</v>
      </c>
      <c r="G54" s="506">
        <f>H54-AC54</f>
        <v>5762.209081196085</v>
      </c>
      <c r="H54" s="507">
        <f t="shared" si="0"/>
        <v>5890.627929363624</v>
      </c>
      <c r="I54" s="508">
        <v>13</v>
      </c>
      <c r="J54" s="524" t="s">
        <v>571</v>
      </c>
      <c r="K54" s="499" t="s">
        <v>2</v>
      </c>
      <c r="L54" s="516">
        <v>0.03945601851851852</v>
      </c>
      <c r="M54" s="481">
        <v>643.0877192982456</v>
      </c>
      <c r="N54" s="524"/>
      <c r="O54" s="499"/>
      <c r="Q54" s="491"/>
      <c r="R54" s="524" t="s">
        <v>372</v>
      </c>
      <c r="S54" s="499" t="s">
        <v>2</v>
      </c>
      <c r="T54" s="516">
        <v>0.06710648148148148</v>
      </c>
      <c r="U54" s="481">
        <v>647.7520016423733</v>
      </c>
      <c r="V54" s="524" t="s">
        <v>372</v>
      </c>
      <c r="W54" s="499" t="s">
        <v>2</v>
      </c>
      <c r="X54" s="516">
        <v>0.0628125</v>
      </c>
      <c r="Y54" s="481">
        <v>534.5766871165646</v>
      </c>
      <c r="Z54" s="509" t="s">
        <v>396</v>
      </c>
      <c r="AA54" s="509" t="s">
        <v>158</v>
      </c>
      <c r="AB54" s="513">
        <v>0.020416666666666666</v>
      </c>
      <c r="AC54" s="546">
        <v>128.41884816753924</v>
      </c>
      <c r="AD54" s="509" t="s">
        <v>396</v>
      </c>
      <c r="AE54" s="509" t="s">
        <v>158</v>
      </c>
      <c r="AF54" s="513">
        <v>0.0834375</v>
      </c>
      <c r="AG54" s="481">
        <v>442.4034334763949</v>
      </c>
      <c r="AH54" s="509" t="s">
        <v>396</v>
      </c>
      <c r="AI54" s="509" t="s">
        <v>158</v>
      </c>
      <c r="AJ54" s="513">
        <v>0.04891203703703704</v>
      </c>
      <c r="AK54" s="481">
        <v>584.7084233261338</v>
      </c>
      <c r="AL54" s="509" t="s">
        <v>372</v>
      </c>
      <c r="AM54" s="509" t="s">
        <v>158</v>
      </c>
      <c r="AN54" s="513">
        <v>0.10075231481481482</v>
      </c>
      <c r="AO54" s="481">
        <v>413.4716118825803</v>
      </c>
      <c r="AP54" s="509" t="s">
        <v>372</v>
      </c>
      <c r="AQ54" s="509" t="s">
        <v>2</v>
      </c>
      <c r="AR54" s="513">
        <v>0.02394675925925926</v>
      </c>
      <c r="AS54" s="481">
        <v>638.1762168823168</v>
      </c>
      <c r="AT54" s="509" t="s">
        <v>633</v>
      </c>
      <c r="AU54" s="509" t="s">
        <v>2</v>
      </c>
      <c r="AV54" s="513">
        <v>0.032546296296296295</v>
      </c>
      <c r="AW54" s="481">
        <v>266.42728904847405</v>
      </c>
      <c r="AX54" s="509" t="s">
        <v>633</v>
      </c>
      <c r="AY54" s="509" t="s">
        <v>2</v>
      </c>
      <c r="AZ54" s="513">
        <v>0.04466435185185185</v>
      </c>
      <c r="BA54" s="481">
        <v>344.9258649093905</v>
      </c>
      <c r="BB54" s="509" t="s">
        <v>633</v>
      </c>
      <c r="BC54" s="509" t="s">
        <v>2</v>
      </c>
      <c r="BD54" s="513">
        <v>0.05714120370370371</v>
      </c>
      <c r="BE54" s="481">
        <v>437.98742138364776</v>
      </c>
      <c r="BF54" s="499"/>
      <c r="BG54" s="499"/>
      <c r="BH54" s="526"/>
      <c r="BI54" s="481"/>
      <c r="BJ54" s="499"/>
      <c r="BK54" s="499"/>
      <c r="BL54" s="516"/>
      <c r="BM54" s="481"/>
      <c r="BN54" s="499"/>
      <c r="BO54" s="499"/>
      <c r="BP54" s="526"/>
      <c r="BQ54" s="481"/>
      <c r="BR54" s="499"/>
      <c r="BS54" s="499"/>
      <c r="BT54" s="526"/>
      <c r="BU54" s="481"/>
      <c r="BV54" s="499"/>
      <c r="BW54" s="499"/>
      <c r="BX54" s="526"/>
      <c r="BY54" s="481"/>
      <c r="BZ54" s="499"/>
      <c r="CA54" s="499"/>
      <c r="CB54" s="526"/>
      <c r="CC54" s="481"/>
      <c r="CD54" s="499"/>
      <c r="CE54" s="499"/>
      <c r="CF54" s="516"/>
      <c r="CG54" s="481"/>
      <c r="CH54" s="499" t="s">
        <v>633</v>
      </c>
      <c r="CI54" s="499" t="s">
        <v>2</v>
      </c>
      <c r="CJ54" s="525">
        <v>0.01528935185185185</v>
      </c>
      <c r="CK54" s="481">
        <v>340.4052443384982</v>
      </c>
      <c r="CL54" s="499" t="s">
        <v>633</v>
      </c>
      <c r="CM54" s="499" t="s">
        <v>2</v>
      </c>
      <c r="CN54" s="513">
        <v>0.05792824074074074</v>
      </c>
      <c r="CO54" s="481">
        <v>468.2871678914642</v>
      </c>
      <c r="CP54" s="499"/>
      <c r="CQ54" s="499"/>
      <c r="CR54" s="516"/>
      <c r="CS54" s="481"/>
      <c r="CT54" s="499"/>
      <c r="CU54" s="499"/>
      <c r="CV54" s="516"/>
      <c r="CW54" s="481"/>
      <c r="CX54" s="499"/>
      <c r="CY54" s="499"/>
      <c r="CZ54" s="516"/>
      <c r="DA54" s="481"/>
      <c r="DB54" s="499"/>
      <c r="DC54" s="499"/>
      <c r="DD54" s="516"/>
      <c r="DE54" s="481"/>
    </row>
    <row r="55" spans="1:109" ht="12.75">
      <c r="A55" s="504">
        <v>41</v>
      </c>
      <c r="B55" s="505" t="s">
        <v>148</v>
      </c>
      <c r="C55" s="371" t="s">
        <v>10</v>
      </c>
      <c r="D55" s="371" t="s">
        <v>67</v>
      </c>
      <c r="E55" s="495" t="s">
        <v>360</v>
      </c>
      <c r="F55" s="190">
        <v>1970</v>
      </c>
      <c r="G55" s="506">
        <f aca="true" t="shared" si="1" ref="G55:G61">H55</f>
        <v>5749.33538880696</v>
      </c>
      <c r="H55" s="507">
        <f t="shared" si="0"/>
        <v>5749.33538880696</v>
      </c>
      <c r="I55" s="508">
        <v>10</v>
      </c>
      <c r="J55" s="524"/>
      <c r="K55" s="499"/>
      <c r="L55" s="526"/>
      <c r="M55" s="481"/>
      <c r="N55" s="524"/>
      <c r="O55" s="499"/>
      <c r="P55" s="516"/>
      <c r="Q55" s="481"/>
      <c r="R55" s="524"/>
      <c r="S55" s="499"/>
      <c r="T55" s="516"/>
      <c r="U55" s="481"/>
      <c r="V55" s="524"/>
      <c r="W55" s="499"/>
      <c r="X55" s="516"/>
      <c r="Y55" s="481"/>
      <c r="Z55" s="509"/>
      <c r="AA55" s="509"/>
      <c r="AB55" s="513"/>
      <c r="AC55" s="481"/>
      <c r="AD55" s="509"/>
      <c r="AE55" s="509"/>
      <c r="AF55" s="513"/>
      <c r="AG55" s="481"/>
      <c r="AH55" s="509"/>
      <c r="AI55" s="509"/>
      <c r="AJ55" s="513"/>
      <c r="AK55" s="481"/>
      <c r="AL55" s="509" t="s">
        <v>372</v>
      </c>
      <c r="AM55" s="509" t="s">
        <v>158</v>
      </c>
      <c r="AN55" s="513">
        <v>0.08123842592592594</v>
      </c>
      <c r="AO55" s="481">
        <v>674.2696431710317</v>
      </c>
      <c r="AP55" s="509" t="s">
        <v>372</v>
      </c>
      <c r="AQ55" s="509" t="s">
        <v>2</v>
      </c>
      <c r="AR55" s="513">
        <v>0.024085648148148148</v>
      </c>
      <c r="AS55" s="481">
        <v>631.6697473813927</v>
      </c>
      <c r="AT55" s="509" t="s">
        <v>633</v>
      </c>
      <c r="AU55" s="509" t="s">
        <v>2</v>
      </c>
      <c r="AV55" s="513">
        <v>0.02803240740740741</v>
      </c>
      <c r="AW55" s="481">
        <v>462.47755834829445</v>
      </c>
      <c r="AX55" s="509" t="s">
        <v>633</v>
      </c>
      <c r="AY55" s="509" t="s">
        <v>2</v>
      </c>
      <c r="AZ55" s="513">
        <v>0.04128472222222222</v>
      </c>
      <c r="BA55" s="481">
        <v>445.94728171334435</v>
      </c>
      <c r="BB55" s="509" t="s">
        <v>633</v>
      </c>
      <c r="BC55" s="509" t="s">
        <v>2</v>
      </c>
      <c r="BD55" s="513">
        <v>0.04710648148148148</v>
      </c>
      <c r="BE55" s="481">
        <v>656.1006289308177</v>
      </c>
      <c r="BF55" s="509" t="s">
        <v>741</v>
      </c>
      <c r="BG55" s="509" t="s">
        <v>158</v>
      </c>
      <c r="BH55" s="513">
        <v>0.030162037037037032</v>
      </c>
      <c r="BI55" s="481">
        <v>545.5737704918033</v>
      </c>
      <c r="BJ55" s="509" t="s">
        <v>741</v>
      </c>
      <c r="BK55" s="509" t="s">
        <v>158</v>
      </c>
      <c r="BL55" s="513">
        <v>0.01332175925925926</v>
      </c>
      <c r="BM55" s="481">
        <v>557.2175732217571</v>
      </c>
      <c r="BN55" s="509" t="s">
        <v>741</v>
      </c>
      <c r="BO55" s="509" t="s">
        <v>158</v>
      </c>
      <c r="BP55" s="513">
        <v>0.046863425925925926</v>
      </c>
      <c r="BQ55" s="481">
        <v>481.2641815235008</v>
      </c>
      <c r="BR55" s="509"/>
      <c r="BS55" s="509"/>
      <c r="BT55" s="509"/>
      <c r="BU55" s="481"/>
      <c r="BV55" s="499"/>
      <c r="BW55" s="499"/>
      <c r="BX55" s="516"/>
      <c r="BY55" s="481"/>
      <c r="BZ55" s="499"/>
      <c r="CA55" s="499"/>
      <c r="CB55" s="516"/>
      <c r="CC55" s="481"/>
      <c r="CD55" s="509" t="s">
        <v>372</v>
      </c>
      <c r="CE55" s="509" t="s">
        <v>2</v>
      </c>
      <c r="CF55" s="513">
        <v>0.04210648148148149</v>
      </c>
      <c r="CG55" s="481">
        <v>719.2197659297788</v>
      </c>
      <c r="CH55" s="499"/>
      <c r="CI55" s="499"/>
      <c r="CJ55" s="526"/>
      <c r="CK55" s="481"/>
      <c r="CL55" s="499"/>
      <c r="CM55" s="499"/>
      <c r="CN55" s="526"/>
      <c r="CO55" s="481"/>
      <c r="CP55" s="499"/>
      <c r="CQ55" s="499"/>
      <c r="CR55" s="526"/>
      <c r="CS55" s="481"/>
      <c r="CT55" s="499"/>
      <c r="CU55" s="499"/>
      <c r="CV55" s="526"/>
      <c r="CW55" s="481"/>
      <c r="CX55" s="499" t="s">
        <v>396</v>
      </c>
      <c r="CY55" s="509" t="s">
        <v>2</v>
      </c>
      <c r="CZ55" s="526">
        <v>0.05975694444444444</v>
      </c>
      <c r="DA55" s="481">
        <v>575.5952380952383</v>
      </c>
      <c r="DB55" s="499"/>
      <c r="DC55" s="509"/>
      <c r="DD55" s="513"/>
      <c r="DE55" s="481"/>
    </row>
    <row r="56" spans="1:109" ht="12.75">
      <c r="A56" s="504">
        <v>42</v>
      </c>
      <c r="B56" s="505" t="s">
        <v>273</v>
      </c>
      <c r="C56" s="371" t="s">
        <v>10</v>
      </c>
      <c r="D56" s="371" t="s">
        <v>49</v>
      </c>
      <c r="F56" s="548">
        <v>1985</v>
      </c>
      <c r="G56" s="506">
        <f t="shared" si="1"/>
        <v>5716.6868411767255</v>
      </c>
      <c r="H56" s="507">
        <f t="shared" si="0"/>
        <v>5716.6868411767255</v>
      </c>
      <c r="I56" s="508">
        <v>9</v>
      </c>
      <c r="J56" s="524"/>
      <c r="K56" s="499"/>
      <c r="M56" s="491"/>
      <c r="N56" s="524"/>
      <c r="O56" s="499"/>
      <c r="Q56" s="491"/>
      <c r="R56" s="524"/>
      <c r="S56" s="499"/>
      <c r="U56" s="481"/>
      <c r="V56" s="524"/>
      <c r="W56" s="499"/>
      <c r="Y56" s="491"/>
      <c r="Z56" s="513" t="s">
        <v>569</v>
      </c>
      <c r="AA56" s="509" t="s">
        <v>158</v>
      </c>
      <c r="AB56" s="513">
        <v>0.012129629629629629</v>
      </c>
      <c r="AC56" s="481">
        <v>758.1989528795812</v>
      </c>
      <c r="AD56" s="513" t="s">
        <v>569</v>
      </c>
      <c r="AE56" s="509" t="s">
        <v>158</v>
      </c>
      <c r="AF56" s="513">
        <v>0.07415509259259259</v>
      </c>
      <c r="AG56" s="481">
        <v>580.0858369098712</v>
      </c>
      <c r="AH56" s="513" t="s">
        <v>569</v>
      </c>
      <c r="AI56" s="509" t="s">
        <v>158</v>
      </c>
      <c r="AJ56" s="538">
        <v>0.05219907407407407</v>
      </c>
      <c r="AK56" s="481">
        <v>511.1015118790497</v>
      </c>
      <c r="AL56" s="524"/>
      <c r="AM56" s="537"/>
      <c r="AO56" s="481"/>
      <c r="AP56" s="524"/>
      <c r="AQ56" s="498"/>
      <c r="AR56" s="535"/>
      <c r="AS56" s="481"/>
      <c r="AT56" s="499"/>
      <c r="AU56" s="499"/>
      <c r="AV56" s="526"/>
      <c r="AW56" s="481"/>
      <c r="AX56" s="499"/>
      <c r="AY56" s="499"/>
      <c r="AZ56" s="526"/>
      <c r="BA56" s="481"/>
      <c r="BB56" s="499"/>
      <c r="BC56" s="499"/>
      <c r="BD56" s="516"/>
      <c r="BE56" s="481"/>
      <c r="BF56" s="509" t="s">
        <v>742</v>
      </c>
      <c r="BG56" s="509" t="s">
        <v>2</v>
      </c>
      <c r="BH56" s="513">
        <v>0.030428240740740742</v>
      </c>
      <c r="BI56" s="481">
        <v>760.3992015968063</v>
      </c>
      <c r="BJ56" s="509" t="s">
        <v>742</v>
      </c>
      <c r="BK56" s="509" t="s">
        <v>2</v>
      </c>
      <c r="BL56" s="513">
        <v>0.012789351851851852</v>
      </c>
      <c r="BM56" s="481">
        <v>731.6306483300588</v>
      </c>
      <c r="BN56" s="509" t="s">
        <v>742</v>
      </c>
      <c r="BO56" s="509" t="s">
        <v>2</v>
      </c>
      <c r="BP56" s="509" t="s">
        <v>358</v>
      </c>
      <c r="BQ56" s="481">
        <v>0</v>
      </c>
      <c r="BR56" s="509" t="s">
        <v>742</v>
      </c>
      <c r="BS56" s="509" t="s">
        <v>2</v>
      </c>
      <c r="BT56" s="513">
        <v>0.029409722222222223</v>
      </c>
      <c r="BU56" s="481">
        <v>931.7554240631164</v>
      </c>
      <c r="BV56" s="499"/>
      <c r="BW56" s="499"/>
      <c r="BX56" s="516"/>
      <c r="BY56" s="481"/>
      <c r="BZ56" s="499"/>
      <c r="CA56" s="499"/>
      <c r="CB56" s="516"/>
      <c r="CC56" s="481"/>
      <c r="CD56" s="499"/>
      <c r="CE56" s="499"/>
      <c r="CF56" s="526"/>
      <c r="CG56" s="481"/>
      <c r="CH56" s="499"/>
      <c r="CI56" s="499"/>
      <c r="CJ56" s="526"/>
      <c r="CK56" s="481"/>
      <c r="CL56" s="499"/>
      <c r="CM56" s="499"/>
      <c r="CN56" s="526"/>
      <c r="CO56" s="481"/>
      <c r="CP56" s="499" t="s">
        <v>839</v>
      </c>
      <c r="CQ56" s="499" t="s">
        <v>1</v>
      </c>
      <c r="CR56" s="513">
        <v>0.04278935185185185</v>
      </c>
      <c r="CS56" s="481">
        <v>727.8045423262216</v>
      </c>
      <c r="CT56" s="499" t="s">
        <v>839</v>
      </c>
      <c r="CU56" s="499" t="s">
        <v>1</v>
      </c>
      <c r="CV56" s="513">
        <v>0.017881944444444443</v>
      </c>
      <c r="CW56" s="481">
        <v>715.7107231920199</v>
      </c>
      <c r="CX56" s="499"/>
      <c r="CY56" s="499"/>
      <c r="CZ56" s="526"/>
      <c r="DA56" s="481"/>
      <c r="DB56" s="499"/>
      <c r="DC56" s="499"/>
      <c r="DD56" s="516"/>
      <c r="DE56" s="481"/>
    </row>
    <row r="57" spans="1:109" ht="12.75">
      <c r="A57" s="504">
        <v>43</v>
      </c>
      <c r="B57" s="505" t="s">
        <v>251</v>
      </c>
      <c r="C57" s="371" t="s">
        <v>10</v>
      </c>
      <c r="D57" s="371" t="s">
        <v>43</v>
      </c>
      <c r="F57" s="548">
        <v>1982</v>
      </c>
      <c r="G57" s="506">
        <f t="shared" si="1"/>
        <v>5532.291903564108</v>
      </c>
      <c r="H57" s="507">
        <f t="shared" si="0"/>
        <v>5532.291903564108</v>
      </c>
      <c r="I57" s="508">
        <v>10</v>
      </c>
      <c r="J57" s="524"/>
      <c r="K57" s="499"/>
      <c r="M57" s="491"/>
      <c r="N57" s="509" t="s">
        <v>551</v>
      </c>
      <c r="O57" s="509" t="s">
        <v>1</v>
      </c>
      <c r="P57" s="513">
        <v>0.06321759259259259</v>
      </c>
      <c r="Q57" s="481">
        <v>456.6261655834982</v>
      </c>
      <c r="R57" s="524"/>
      <c r="S57" s="499"/>
      <c r="T57" s="516"/>
      <c r="U57" s="481"/>
      <c r="V57" s="524"/>
      <c r="W57" s="499"/>
      <c r="X57" s="516"/>
      <c r="Y57" s="481"/>
      <c r="Z57" s="509" t="s">
        <v>443</v>
      </c>
      <c r="AA57" s="509" t="s">
        <v>1</v>
      </c>
      <c r="AB57" s="520">
        <v>0.02025462962962963</v>
      </c>
      <c r="AC57" s="481">
        <v>530.8283518360377</v>
      </c>
      <c r="AD57" s="509" t="s">
        <v>443</v>
      </c>
      <c r="AE57" s="509" t="s">
        <v>1</v>
      </c>
      <c r="AF57" s="520">
        <v>0.09233796296296297</v>
      </c>
      <c r="AG57" s="481">
        <v>527.759009009009</v>
      </c>
      <c r="AH57" s="509" t="s">
        <v>443</v>
      </c>
      <c r="AI57" s="509" t="s">
        <v>1</v>
      </c>
      <c r="AJ57" s="520">
        <v>0.06204861111111112</v>
      </c>
      <c r="AK57" s="481">
        <v>640.1841286307052</v>
      </c>
      <c r="AL57" s="509" t="s">
        <v>625</v>
      </c>
      <c r="AM57" s="509" t="s">
        <v>1</v>
      </c>
      <c r="AN57" s="513">
        <v>0.11024305555555557</v>
      </c>
      <c r="AO57" s="481">
        <v>637.8261517817205</v>
      </c>
      <c r="AP57" s="509" t="s">
        <v>625</v>
      </c>
      <c r="AQ57" s="509" t="s">
        <v>1</v>
      </c>
      <c r="AR57" s="513">
        <v>0.027314814814814816</v>
      </c>
      <c r="AS57" s="481">
        <v>694.1995359628773</v>
      </c>
      <c r="AT57" s="524"/>
      <c r="AU57" s="524"/>
      <c r="AV57" s="526"/>
      <c r="AW57" s="481"/>
      <c r="AX57" s="524"/>
      <c r="AY57" s="524"/>
      <c r="AZ57" s="526"/>
      <c r="BA57" s="481"/>
      <c r="BB57" s="524"/>
      <c r="BC57" s="524"/>
      <c r="BD57" s="516"/>
      <c r="BE57" s="481"/>
      <c r="BF57" s="509" t="s">
        <v>700</v>
      </c>
      <c r="BG57" s="509" t="s">
        <v>1</v>
      </c>
      <c r="BH57" s="513">
        <v>0.03512731481481481</v>
      </c>
      <c r="BI57" s="481">
        <v>569.7455230914233</v>
      </c>
      <c r="BJ57" s="509" t="s">
        <v>700</v>
      </c>
      <c r="BK57" s="509" t="s">
        <v>1</v>
      </c>
      <c r="BL57" s="513">
        <v>0.012615740740740742</v>
      </c>
      <c r="BM57" s="481">
        <v>719.1539365452409</v>
      </c>
      <c r="BN57" s="509" t="s">
        <v>700</v>
      </c>
      <c r="BO57" s="509" t="s">
        <v>1</v>
      </c>
      <c r="BP57" s="509" t="s">
        <v>358</v>
      </c>
      <c r="BQ57" s="481">
        <v>0</v>
      </c>
      <c r="BR57" s="509" t="s">
        <v>700</v>
      </c>
      <c r="BS57" s="509" t="s">
        <v>1</v>
      </c>
      <c r="BT57" s="513">
        <v>0.04100694444444444</v>
      </c>
      <c r="BU57" s="481">
        <v>755.9691011235956</v>
      </c>
      <c r="BV57" s="499"/>
      <c r="BW57" s="499"/>
      <c r="BX57" s="516"/>
      <c r="BY57" s="481"/>
      <c r="BZ57" s="499"/>
      <c r="CA57" s="499"/>
      <c r="CB57" s="516"/>
      <c r="CC57" s="481"/>
      <c r="CD57" s="499"/>
      <c r="CE57" s="499"/>
      <c r="CF57" s="516"/>
      <c r="CG57" s="481"/>
      <c r="CH57" s="499"/>
      <c r="CI57" s="499"/>
      <c r="CJ57" s="526"/>
      <c r="CK57" s="481"/>
      <c r="CL57" s="499"/>
      <c r="CM57" s="499"/>
      <c r="CN57" s="526"/>
      <c r="CO57" s="481"/>
      <c r="CP57" s="499"/>
      <c r="CQ57" s="499"/>
      <c r="CR57" s="516"/>
      <c r="CS57" s="481"/>
      <c r="CT57" s="499"/>
      <c r="CU57" s="499"/>
      <c r="CV57" s="516"/>
      <c r="CW57" s="481"/>
      <c r="CX57" s="499"/>
      <c r="CY57" s="499"/>
      <c r="CZ57" s="526"/>
      <c r="DA57" s="481"/>
      <c r="DB57" s="499"/>
      <c r="DC57" s="499"/>
      <c r="DD57" s="526"/>
      <c r="DE57" s="481"/>
    </row>
    <row r="58" spans="1:109" ht="12.75">
      <c r="A58" s="504">
        <v>44</v>
      </c>
      <c r="B58" s="505" t="s">
        <v>328</v>
      </c>
      <c r="C58" s="371" t="s">
        <v>10</v>
      </c>
      <c r="D58" s="371" t="s">
        <v>329</v>
      </c>
      <c r="E58" s="495" t="s">
        <v>375</v>
      </c>
      <c r="F58" s="548">
        <v>1962</v>
      </c>
      <c r="G58" s="506">
        <f t="shared" si="1"/>
        <v>5498.635179730608</v>
      </c>
      <c r="H58" s="507">
        <f t="shared" si="0"/>
        <v>5498.635179730608</v>
      </c>
      <c r="I58" s="508">
        <v>11</v>
      </c>
      <c r="J58" s="524" t="s">
        <v>572</v>
      </c>
      <c r="K58" s="499" t="s">
        <v>2</v>
      </c>
      <c r="L58" s="516">
        <v>0.04282407407407407</v>
      </c>
      <c r="M58" s="481">
        <v>561.40350877193</v>
      </c>
      <c r="N58" s="524"/>
      <c r="O58" s="499"/>
      <c r="P58" s="516"/>
      <c r="Q58" s="481"/>
      <c r="R58" s="524"/>
      <c r="S58" s="499"/>
      <c r="T58" s="516"/>
      <c r="U58" s="481"/>
      <c r="V58" s="524"/>
      <c r="W58" s="499"/>
      <c r="X58" s="516"/>
      <c r="Y58" s="481"/>
      <c r="Z58" s="524" t="s">
        <v>577</v>
      </c>
      <c r="AA58" s="499" t="s">
        <v>172</v>
      </c>
      <c r="AB58" s="516">
        <v>0.011828703703703704</v>
      </c>
      <c r="AC58" s="481">
        <v>670.8829787234043</v>
      </c>
      <c r="AD58" s="524" t="s">
        <v>577</v>
      </c>
      <c r="AE58" s="499" t="s">
        <v>172</v>
      </c>
      <c r="AF58" s="516">
        <v>0.06129629629629629</v>
      </c>
      <c r="AG58" s="481">
        <v>528.4034833091438</v>
      </c>
      <c r="AH58" s="524" t="s">
        <v>577</v>
      </c>
      <c r="AI58" s="499" t="s">
        <v>172</v>
      </c>
      <c r="AJ58" s="516">
        <v>0.03917824074074074</v>
      </c>
      <c r="AK58" s="481">
        <v>543.034649776453</v>
      </c>
      <c r="AL58" s="524"/>
      <c r="AM58" s="524"/>
      <c r="AN58" s="516"/>
      <c r="AO58" s="481"/>
      <c r="AP58" s="524"/>
      <c r="AQ58" s="499"/>
      <c r="AR58" s="498"/>
      <c r="AS58" s="481"/>
      <c r="AT58" s="499"/>
      <c r="AU58" s="499"/>
      <c r="AV58" s="516"/>
      <c r="AW58" s="481"/>
      <c r="AX58" s="499"/>
      <c r="AY58" s="499"/>
      <c r="AZ58" s="516"/>
      <c r="BA58" s="481"/>
      <c r="BB58" s="499"/>
      <c r="BC58" s="499"/>
      <c r="BD58" s="516"/>
      <c r="BE58" s="481"/>
      <c r="BF58" s="509" t="s">
        <v>743</v>
      </c>
      <c r="BG58" s="509" t="s">
        <v>158</v>
      </c>
      <c r="BH58" s="513">
        <v>0.03162037037037037</v>
      </c>
      <c r="BI58" s="481">
        <v>504.26229508196735</v>
      </c>
      <c r="BJ58" s="509" t="s">
        <v>743</v>
      </c>
      <c r="BK58" s="509" t="s">
        <v>158</v>
      </c>
      <c r="BL58" s="509" t="s">
        <v>358</v>
      </c>
      <c r="BM58" s="481">
        <v>0</v>
      </c>
      <c r="BN58" s="509" t="s">
        <v>743</v>
      </c>
      <c r="BO58" s="509" t="s">
        <v>158</v>
      </c>
      <c r="BP58" s="513">
        <v>0.047071759259259265</v>
      </c>
      <c r="BQ58" s="481">
        <v>477.1799027552673</v>
      </c>
      <c r="BR58" s="509" t="s">
        <v>743</v>
      </c>
      <c r="BS58" s="509" t="s">
        <v>158</v>
      </c>
      <c r="BT58" s="513">
        <v>0.03023148148148148</v>
      </c>
      <c r="BU58" s="481">
        <v>526.4214046822741</v>
      </c>
      <c r="BV58" s="499"/>
      <c r="BW58" s="499"/>
      <c r="BX58" s="526"/>
      <c r="BY58" s="481"/>
      <c r="BZ58" s="499"/>
      <c r="CA58" s="499"/>
      <c r="CB58" s="526"/>
      <c r="CC58" s="481"/>
      <c r="CD58" s="509" t="s">
        <v>651</v>
      </c>
      <c r="CE58" s="509" t="s">
        <v>2</v>
      </c>
      <c r="CF58" s="513">
        <v>0.04770833333333333</v>
      </c>
      <c r="CG58" s="481">
        <v>580.7542262678804</v>
      </c>
      <c r="CH58" s="499"/>
      <c r="CI58" s="499"/>
      <c r="CJ58" s="526"/>
      <c r="CK58" s="481"/>
      <c r="CL58" s="499"/>
      <c r="CM58" s="499"/>
      <c r="CN58" s="526"/>
      <c r="CO58" s="481"/>
      <c r="CP58" s="499"/>
      <c r="CQ58" s="499"/>
      <c r="CR58" s="526"/>
      <c r="CS58" s="481"/>
      <c r="CT58" s="499"/>
      <c r="CU58" s="499"/>
      <c r="CV58" s="526"/>
      <c r="CW58" s="481"/>
      <c r="CX58" s="499" t="s">
        <v>872</v>
      </c>
      <c r="CY58" s="499" t="s">
        <v>2</v>
      </c>
      <c r="CZ58" s="516">
        <v>0.06211805555555555</v>
      </c>
      <c r="DA58" s="481">
        <v>535.1190476190478</v>
      </c>
      <c r="DB58" s="499" t="s">
        <v>872</v>
      </c>
      <c r="DC58" s="499" t="s">
        <v>2</v>
      </c>
      <c r="DD58" s="513">
        <v>0.053391203703703705</v>
      </c>
      <c r="DE58" s="481">
        <v>571.1736827432395</v>
      </c>
    </row>
    <row r="59" spans="1:109" ht="12.75">
      <c r="A59" s="504">
        <v>45</v>
      </c>
      <c r="B59" s="505" t="s">
        <v>40</v>
      </c>
      <c r="C59" s="371" t="s">
        <v>10</v>
      </c>
      <c r="D59" s="371" t="s">
        <v>41</v>
      </c>
      <c r="E59" s="495" t="s">
        <v>375</v>
      </c>
      <c r="F59" s="190">
        <v>1965</v>
      </c>
      <c r="G59" s="506">
        <f t="shared" si="1"/>
        <v>5408.187682247216</v>
      </c>
      <c r="H59" s="507">
        <f t="shared" si="0"/>
        <v>5408.187682247216</v>
      </c>
      <c r="I59" s="508">
        <v>8</v>
      </c>
      <c r="J59" s="524" t="s">
        <v>572</v>
      </c>
      <c r="K59" s="499" t="s">
        <v>2</v>
      </c>
      <c r="L59" s="516">
        <v>0.03298611111111111</v>
      </c>
      <c r="M59" s="481">
        <v>800</v>
      </c>
      <c r="N59" s="524" t="s">
        <v>64</v>
      </c>
      <c r="O59" s="499" t="s">
        <v>2</v>
      </c>
      <c r="P59" s="516">
        <v>0.05119212962962963</v>
      </c>
      <c r="Q59" s="481">
        <v>768.218147625764</v>
      </c>
      <c r="R59" s="524"/>
      <c r="S59" s="499"/>
      <c r="T59" s="516"/>
      <c r="U59" s="481"/>
      <c r="V59" s="524"/>
      <c r="W59" s="499"/>
      <c r="X59" s="516"/>
      <c r="Y59" s="481"/>
      <c r="Z59" s="524" t="s">
        <v>577</v>
      </c>
      <c r="AA59" s="499" t="s">
        <v>172</v>
      </c>
      <c r="AB59" s="516">
        <v>0.011273148148148148</v>
      </c>
      <c r="AC59" s="481">
        <v>708.4148936170212</v>
      </c>
      <c r="AD59" s="524" t="s">
        <v>577</v>
      </c>
      <c r="AE59" s="499" t="s">
        <v>172</v>
      </c>
      <c r="AF59" s="516">
        <v>0.054872685185185184</v>
      </c>
      <c r="AG59" s="481">
        <v>627.079100145138</v>
      </c>
      <c r="AH59" s="524" t="s">
        <v>577</v>
      </c>
      <c r="AI59" s="499" t="s">
        <v>172</v>
      </c>
      <c r="AJ59" s="516">
        <v>0.03979166666666666</v>
      </c>
      <c r="AK59" s="481">
        <v>528.5208643815203</v>
      </c>
      <c r="AL59" s="524"/>
      <c r="AM59" s="537"/>
      <c r="AN59" s="526"/>
      <c r="AO59" s="481"/>
      <c r="AP59" s="524"/>
      <c r="AQ59" s="524"/>
      <c r="AR59" s="535"/>
      <c r="AS59" s="481"/>
      <c r="AT59" s="499"/>
      <c r="AU59" s="499"/>
      <c r="AV59" s="526"/>
      <c r="AW59" s="481"/>
      <c r="AX59" s="499"/>
      <c r="AY59" s="499"/>
      <c r="AZ59" s="526"/>
      <c r="BA59" s="481"/>
      <c r="BB59" s="499"/>
      <c r="BC59" s="499"/>
      <c r="BD59" s="516"/>
      <c r="BE59" s="481"/>
      <c r="BF59" s="499"/>
      <c r="BG59" s="499"/>
      <c r="BH59" s="526"/>
      <c r="BI59" s="481"/>
      <c r="BJ59" s="499"/>
      <c r="BK59" s="499"/>
      <c r="BL59" s="516"/>
      <c r="BM59" s="491"/>
      <c r="BN59" s="499"/>
      <c r="BO59" s="499"/>
      <c r="BP59" s="526"/>
      <c r="BQ59" s="481"/>
      <c r="BR59" s="499"/>
      <c r="BS59" s="499"/>
      <c r="BT59" s="526"/>
      <c r="BU59" s="481"/>
      <c r="BV59" s="499"/>
      <c r="BW59" s="499"/>
      <c r="BX59" s="526"/>
      <c r="BY59" s="481"/>
      <c r="BZ59" s="499"/>
      <c r="CA59" s="499"/>
      <c r="CB59" s="526"/>
      <c r="CC59" s="481"/>
      <c r="CD59" s="509" t="s">
        <v>651</v>
      </c>
      <c r="CE59" s="509" t="s">
        <v>2</v>
      </c>
      <c r="CF59" s="513">
        <v>0.045613425925925925</v>
      </c>
      <c r="CG59" s="481">
        <v>632.5357607282184</v>
      </c>
      <c r="CH59" s="499"/>
      <c r="CI59" s="499"/>
      <c r="CJ59" s="526"/>
      <c r="CK59" s="481"/>
      <c r="CL59" s="499"/>
      <c r="CM59" s="499"/>
      <c r="CN59" s="526"/>
      <c r="CO59" s="481"/>
      <c r="CP59" s="499"/>
      <c r="CQ59" s="499"/>
      <c r="CR59" s="516"/>
      <c r="CS59" s="481"/>
      <c r="CT59" s="499"/>
      <c r="CU59" s="499"/>
      <c r="CV59" s="516"/>
      <c r="CW59" s="481"/>
      <c r="CX59" s="499" t="s">
        <v>872</v>
      </c>
      <c r="CY59" s="499" t="s">
        <v>2</v>
      </c>
      <c r="CZ59" s="526">
        <v>0.055324074074074074</v>
      </c>
      <c r="DA59" s="481">
        <v>651.5873015873016</v>
      </c>
      <c r="DB59" s="499" t="s">
        <v>872</v>
      </c>
      <c r="DC59" s="499" t="s">
        <v>2</v>
      </c>
      <c r="DD59" s="526">
        <v>0.04712962962962963</v>
      </c>
      <c r="DE59" s="481">
        <v>691.8316141622524</v>
      </c>
    </row>
    <row r="60" spans="1:109" ht="12.75">
      <c r="A60" s="504">
        <v>46</v>
      </c>
      <c r="B60" s="522" t="s">
        <v>494</v>
      </c>
      <c r="C60" s="371" t="s">
        <v>170</v>
      </c>
      <c r="D60" s="371" t="s">
        <v>495</v>
      </c>
      <c r="F60" s="548"/>
      <c r="G60" s="506">
        <f t="shared" si="1"/>
        <v>5142.027828911701</v>
      </c>
      <c r="H60" s="507">
        <f t="shared" si="0"/>
        <v>5142.027828911701</v>
      </c>
      <c r="I60" s="508">
        <v>5</v>
      </c>
      <c r="J60" s="524"/>
      <c r="K60" s="499"/>
      <c r="M60" s="491"/>
      <c r="N60" s="524"/>
      <c r="O60" s="499"/>
      <c r="P60" s="516"/>
      <c r="Q60" s="481"/>
      <c r="R60" s="524"/>
      <c r="S60" s="499"/>
      <c r="T60" s="516"/>
      <c r="U60" s="481"/>
      <c r="V60" s="524"/>
      <c r="W60" s="499"/>
      <c r="X60" s="516"/>
      <c r="Y60" s="481"/>
      <c r="Z60" s="509" t="s">
        <v>443</v>
      </c>
      <c r="AA60" s="509" t="s">
        <v>1</v>
      </c>
      <c r="AB60" s="520">
        <v>0.013692129629629629</v>
      </c>
      <c r="AC60" s="481">
        <v>1039.2399658411616</v>
      </c>
      <c r="AD60" s="509" t="s">
        <v>443</v>
      </c>
      <c r="AE60" s="509" t="s">
        <v>1</v>
      </c>
      <c r="AF60" s="520">
        <v>0.06166666666666667</v>
      </c>
      <c r="AG60" s="481">
        <v>1050</v>
      </c>
      <c r="AH60" s="509" t="s">
        <v>443</v>
      </c>
      <c r="AI60" s="509" t="s">
        <v>1</v>
      </c>
      <c r="AJ60" s="520">
        <v>0.048761574074074075</v>
      </c>
      <c r="AK60" s="481">
        <v>952.7878630705394</v>
      </c>
      <c r="AL60" s="524"/>
      <c r="AM60" s="537"/>
      <c r="AN60" s="526"/>
      <c r="AO60" s="481"/>
      <c r="AP60" s="524"/>
      <c r="AQ60" s="524"/>
      <c r="AR60" s="516"/>
      <c r="AS60" s="481"/>
      <c r="AT60" s="524"/>
      <c r="AU60" s="524"/>
      <c r="AV60" s="526"/>
      <c r="AW60" s="481"/>
      <c r="AX60" s="524"/>
      <c r="AY60" s="524"/>
      <c r="AZ60" s="526"/>
      <c r="BA60" s="481"/>
      <c r="BB60" s="524"/>
      <c r="BC60" s="524"/>
      <c r="BD60" s="516"/>
      <c r="BE60" s="481"/>
      <c r="BF60" s="499"/>
      <c r="BG60" s="499"/>
      <c r="BH60" s="498"/>
      <c r="BI60" s="481"/>
      <c r="BJ60" s="499"/>
      <c r="BK60" s="499"/>
      <c r="BL60" s="516"/>
      <c r="BM60" s="491"/>
      <c r="BN60" s="499"/>
      <c r="BO60" s="499"/>
      <c r="BP60" s="498"/>
      <c r="BQ60" s="481"/>
      <c r="BR60" s="499"/>
      <c r="BS60" s="499"/>
      <c r="BT60" s="498"/>
      <c r="BU60" s="481"/>
      <c r="BV60" s="509" t="s">
        <v>237</v>
      </c>
      <c r="BW60" s="509" t="s">
        <v>1</v>
      </c>
      <c r="BX60" s="513">
        <v>0.036909722222222226</v>
      </c>
      <c r="BY60" s="481">
        <v>1050</v>
      </c>
      <c r="BZ60" s="509" t="s">
        <v>237</v>
      </c>
      <c r="CA60" s="509" t="s">
        <v>1</v>
      </c>
      <c r="CB60" s="513">
        <v>0.07099537037037036</v>
      </c>
      <c r="CC60" s="481">
        <v>1050</v>
      </c>
      <c r="CD60" s="499"/>
      <c r="CE60" s="499"/>
      <c r="CF60" s="516"/>
      <c r="CG60" s="481"/>
      <c r="CH60" s="499"/>
      <c r="CI60" s="499"/>
      <c r="CJ60" s="516"/>
      <c r="CK60" s="481"/>
      <c r="CL60" s="499"/>
      <c r="CM60" s="499"/>
      <c r="CN60" s="516"/>
      <c r="CO60" s="481"/>
      <c r="CP60" s="499"/>
      <c r="CQ60" s="499"/>
      <c r="CR60" s="526"/>
      <c r="CS60" s="481"/>
      <c r="CT60" s="499"/>
      <c r="CU60" s="499"/>
      <c r="CV60" s="526"/>
      <c r="CW60" s="481"/>
      <c r="CX60" s="499"/>
      <c r="CY60" s="499"/>
      <c r="CZ60" s="526"/>
      <c r="DA60" s="481"/>
      <c r="DB60" s="509"/>
      <c r="DC60" s="509"/>
      <c r="DD60" s="520"/>
      <c r="DE60" s="515"/>
    </row>
    <row r="61" spans="1:109" ht="12.75">
      <c r="A61" s="504">
        <v>47</v>
      </c>
      <c r="B61" s="505" t="s">
        <v>42</v>
      </c>
      <c r="C61" s="371" t="s">
        <v>10</v>
      </c>
      <c r="D61" s="371" t="s">
        <v>43</v>
      </c>
      <c r="F61" s="548">
        <v>1982</v>
      </c>
      <c r="G61" s="506">
        <f t="shared" si="1"/>
        <v>5140.208604445285</v>
      </c>
      <c r="H61" s="507">
        <f t="shared" si="0"/>
        <v>5140.208604445285</v>
      </c>
      <c r="I61" s="508">
        <v>10</v>
      </c>
      <c r="J61" s="524"/>
      <c r="K61" s="499"/>
      <c r="M61" s="491"/>
      <c r="N61" s="524"/>
      <c r="O61" s="499"/>
      <c r="Q61" s="491"/>
      <c r="R61" s="524"/>
      <c r="S61" s="499"/>
      <c r="U61" s="481"/>
      <c r="V61" s="524"/>
      <c r="W61" s="499"/>
      <c r="X61" s="516"/>
      <c r="Y61" s="481"/>
      <c r="Z61" s="513" t="s">
        <v>569</v>
      </c>
      <c r="AA61" s="509" t="s">
        <v>158</v>
      </c>
      <c r="AB61" s="513">
        <v>0.01596064814814815</v>
      </c>
      <c r="AC61" s="481">
        <v>467.0575916230364</v>
      </c>
      <c r="AD61" s="513" t="s">
        <v>569</v>
      </c>
      <c r="AE61" s="509" t="s">
        <v>158</v>
      </c>
      <c r="AF61" s="513">
        <v>0.08135416666666667</v>
      </c>
      <c r="AG61" s="481">
        <v>473.30472103004274</v>
      </c>
      <c r="AH61" s="513" t="s">
        <v>569</v>
      </c>
      <c r="AI61" s="509" t="s">
        <v>158</v>
      </c>
      <c r="AJ61" s="513">
        <v>0.05726851851851852</v>
      </c>
      <c r="AK61" s="481">
        <v>397.58099352051835</v>
      </c>
      <c r="AL61" s="524"/>
      <c r="AM61" s="537"/>
      <c r="AN61" s="526"/>
      <c r="AO61" s="481"/>
      <c r="AP61" s="524"/>
      <c r="AQ61" s="524"/>
      <c r="AR61" s="535"/>
      <c r="AS61" s="481"/>
      <c r="AT61" s="509" t="s">
        <v>737</v>
      </c>
      <c r="AU61" s="509" t="s">
        <v>2</v>
      </c>
      <c r="AV61" s="513">
        <v>0.03002314814814815</v>
      </c>
      <c r="AW61" s="481">
        <v>376.01436265709157</v>
      </c>
      <c r="AX61" s="509" t="s">
        <v>737</v>
      </c>
      <c r="AY61" s="509" t="s">
        <v>2</v>
      </c>
      <c r="AZ61" s="513">
        <v>0.050995370370370365</v>
      </c>
      <c r="BA61" s="481">
        <v>155.68369028006614</v>
      </c>
      <c r="BB61" s="509" t="s">
        <v>737</v>
      </c>
      <c r="BC61" s="509" t="s">
        <v>2</v>
      </c>
      <c r="BD61" s="513">
        <v>0.050902777777777776</v>
      </c>
      <c r="BE61" s="481">
        <v>573.5849056603772</v>
      </c>
      <c r="BF61" s="509" t="s">
        <v>742</v>
      </c>
      <c r="BG61" s="509" t="s">
        <v>2</v>
      </c>
      <c r="BH61" s="513">
        <v>0.033888888888888885</v>
      </c>
      <c r="BI61" s="481">
        <v>664.9101796407185</v>
      </c>
      <c r="BJ61" s="509" t="s">
        <v>742</v>
      </c>
      <c r="BK61" s="509" t="s">
        <v>2</v>
      </c>
      <c r="BL61" s="513">
        <v>0.012407407407407409</v>
      </c>
      <c r="BM61" s="481">
        <v>757.5638506876226</v>
      </c>
      <c r="BN61" s="509" t="s">
        <v>742</v>
      </c>
      <c r="BO61" s="509" t="s">
        <v>2</v>
      </c>
      <c r="BP61" s="513">
        <v>0.06381944444444444</v>
      </c>
      <c r="BQ61" s="481">
        <v>642.2926617455494</v>
      </c>
      <c r="BR61" s="509" t="s">
        <v>742</v>
      </c>
      <c r="BS61" s="509" t="s">
        <v>2</v>
      </c>
      <c r="BT61" s="513">
        <v>0.04259259259259259</v>
      </c>
      <c r="BU61" s="481">
        <v>632.2156476002631</v>
      </c>
      <c r="BV61" s="499"/>
      <c r="BW61" s="499"/>
      <c r="BX61" s="516"/>
      <c r="BY61" s="481"/>
      <c r="BZ61" s="499"/>
      <c r="CA61" s="499"/>
      <c r="CB61" s="526"/>
      <c r="CC61" s="481"/>
      <c r="CD61" s="499"/>
      <c r="CE61" s="499"/>
      <c r="CF61" s="516"/>
      <c r="CG61" s="481"/>
      <c r="CH61" s="499"/>
      <c r="CI61" s="499"/>
      <c r="CJ61" s="516"/>
      <c r="CK61" s="481"/>
      <c r="CL61" s="499"/>
      <c r="CM61" s="499"/>
      <c r="CN61" s="516"/>
      <c r="CO61" s="481"/>
      <c r="CP61" s="499"/>
      <c r="CQ61" s="499"/>
      <c r="CR61" s="520"/>
      <c r="CS61" s="515"/>
      <c r="CT61" s="509"/>
      <c r="CU61" s="509"/>
      <c r="CV61" s="520"/>
      <c r="CW61" s="515"/>
      <c r="CX61" s="499"/>
      <c r="CY61" s="499"/>
      <c r="CZ61" s="516"/>
      <c r="DA61" s="481"/>
      <c r="DB61" s="509"/>
      <c r="DC61" s="509"/>
      <c r="DD61" s="520"/>
      <c r="DE61" s="515"/>
    </row>
    <row r="62" spans="1:109" ht="12.75">
      <c r="A62" s="504">
        <v>48</v>
      </c>
      <c r="B62" s="505" t="s">
        <v>211</v>
      </c>
      <c r="C62" s="371" t="s">
        <v>10</v>
      </c>
      <c r="D62" s="371" t="s">
        <v>192</v>
      </c>
      <c r="E62" s="495" t="s">
        <v>359</v>
      </c>
      <c r="F62" s="190">
        <v>2003</v>
      </c>
      <c r="G62" s="506">
        <f>H62-BM62-AW62-BA62-BQ62-BY62</f>
        <v>5102.184782353943</v>
      </c>
      <c r="H62" s="507">
        <f t="shared" si="0"/>
        <v>5251.129724566865</v>
      </c>
      <c r="I62" s="508">
        <v>17</v>
      </c>
      <c r="J62" s="524"/>
      <c r="K62" s="499"/>
      <c r="L62" s="526"/>
      <c r="M62" s="481"/>
      <c r="N62" s="524" t="s">
        <v>0</v>
      </c>
      <c r="O62" s="499" t="s">
        <v>2</v>
      </c>
      <c r="P62" s="516">
        <v>0.07297453703703703</v>
      </c>
      <c r="Q62" s="481">
        <v>414.2924306535027</v>
      </c>
      <c r="R62" s="524"/>
      <c r="S62" s="499"/>
      <c r="U62" s="481"/>
      <c r="V62" s="524"/>
      <c r="W62" s="499"/>
      <c r="Y62" s="491"/>
      <c r="Z62" s="524"/>
      <c r="AA62" s="499"/>
      <c r="AC62" s="481"/>
      <c r="AD62" s="524"/>
      <c r="AE62" s="524"/>
      <c r="AF62" s="516"/>
      <c r="AG62" s="531"/>
      <c r="AH62" s="524"/>
      <c r="AI62" s="524"/>
      <c r="AJ62" s="516"/>
      <c r="AK62" s="481"/>
      <c r="AL62" s="509" t="s">
        <v>644</v>
      </c>
      <c r="AM62" s="509" t="s">
        <v>627</v>
      </c>
      <c r="AN62" s="513">
        <v>0.050034722222222223</v>
      </c>
      <c r="AO62" s="481">
        <v>550</v>
      </c>
      <c r="AP62" s="509" t="s">
        <v>644</v>
      </c>
      <c r="AQ62" s="509" t="s">
        <v>173</v>
      </c>
      <c r="AR62" s="513">
        <v>0.01726851851851852</v>
      </c>
      <c r="AS62" s="481">
        <v>550</v>
      </c>
      <c r="AT62" s="509" t="s">
        <v>632</v>
      </c>
      <c r="AU62" s="509" t="s">
        <v>2</v>
      </c>
      <c r="AV62" s="513">
        <v>0.04730324074074074</v>
      </c>
      <c r="AW62" s="546">
        <v>10</v>
      </c>
      <c r="AX62" s="509" t="s">
        <v>632</v>
      </c>
      <c r="AY62" s="509" t="s">
        <v>2</v>
      </c>
      <c r="AZ62" s="513">
        <v>0.05616898148148148</v>
      </c>
      <c r="BA62" s="546">
        <v>10</v>
      </c>
      <c r="BB62" s="509" t="s">
        <v>632</v>
      </c>
      <c r="BC62" s="509" t="s">
        <v>2</v>
      </c>
      <c r="BD62" s="513">
        <v>0.06527777777777778</v>
      </c>
      <c r="BE62" s="481">
        <v>261.132075471698</v>
      </c>
      <c r="BF62" s="509" t="s">
        <v>739</v>
      </c>
      <c r="BG62" s="509" t="s">
        <v>158</v>
      </c>
      <c r="BH62" s="513">
        <v>0.039293981481481485</v>
      </c>
      <c r="BI62" s="481">
        <v>286.8852459016392</v>
      </c>
      <c r="BJ62" s="509" t="s">
        <v>739</v>
      </c>
      <c r="BK62" s="509" t="s">
        <v>158</v>
      </c>
      <c r="BL62" s="509" t="s">
        <v>358</v>
      </c>
      <c r="BM62" s="546">
        <v>0</v>
      </c>
      <c r="BN62" s="509" t="s">
        <v>739</v>
      </c>
      <c r="BO62" s="509" t="s">
        <v>158</v>
      </c>
      <c r="BP62" s="513">
        <v>0.06979166666666667</v>
      </c>
      <c r="BQ62" s="546">
        <v>31.766612641815286</v>
      </c>
      <c r="BR62" s="509" t="s">
        <v>739</v>
      </c>
      <c r="BS62" s="509" t="s">
        <v>158</v>
      </c>
      <c r="BT62" s="513">
        <v>0.03863425925925926</v>
      </c>
      <c r="BU62" s="481">
        <v>283.61204013377915</v>
      </c>
      <c r="BV62" s="509" t="s">
        <v>738</v>
      </c>
      <c r="BW62" s="509" t="s">
        <v>172</v>
      </c>
      <c r="BX62" s="513">
        <v>0.0567824074074074</v>
      </c>
      <c r="BY62" s="546">
        <v>97.1783295711062</v>
      </c>
      <c r="BZ62" s="509" t="s">
        <v>738</v>
      </c>
      <c r="CA62" s="509" t="s">
        <v>172</v>
      </c>
      <c r="CB62" s="513">
        <v>0.06252314814814815</v>
      </c>
      <c r="CC62" s="481">
        <v>396.44760213143877</v>
      </c>
      <c r="CD62" s="509" t="s">
        <v>644</v>
      </c>
      <c r="CE62" s="509" t="s">
        <v>172</v>
      </c>
      <c r="CF62" s="512">
        <v>0.030636574074074076</v>
      </c>
      <c r="CG62" s="481">
        <v>601.0617283950617</v>
      </c>
      <c r="CH62" s="499"/>
      <c r="CI62" s="499"/>
      <c r="CJ62" s="526"/>
      <c r="CK62" s="481"/>
      <c r="CL62" s="499"/>
      <c r="CM62" s="499"/>
      <c r="CN62" s="526"/>
      <c r="CO62" s="481"/>
      <c r="CP62" s="499" t="s">
        <v>856</v>
      </c>
      <c r="CQ62" s="499" t="s">
        <v>2</v>
      </c>
      <c r="CR62" s="513">
        <v>0.045162037037037035</v>
      </c>
      <c r="CS62" s="481">
        <v>620.2134337727557</v>
      </c>
      <c r="CT62" s="499" t="s">
        <v>856</v>
      </c>
      <c r="CU62" s="499" t="s">
        <v>2</v>
      </c>
      <c r="CV62" s="513">
        <v>0.02017361111111111</v>
      </c>
      <c r="CW62" s="481">
        <v>572.4392041267502</v>
      </c>
      <c r="CX62" s="499" t="s">
        <v>871</v>
      </c>
      <c r="CY62" s="499" t="s">
        <v>2</v>
      </c>
      <c r="CZ62" s="526">
        <v>0.07553240740740741</v>
      </c>
      <c r="DA62" s="481">
        <v>305.15873015873024</v>
      </c>
      <c r="DB62" s="499" t="s">
        <v>871</v>
      </c>
      <c r="DC62" s="499" t="s">
        <v>2</v>
      </c>
      <c r="DD62" s="513">
        <v>0.06949074074074074</v>
      </c>
      <c r="DE62" s="481">
        <v>260.9422916085865</v>
      </c>
    </row>
    <row r="63" spans="1:109" ht="12.75">
      <c r="A63" s="504">
        <v>49</v>
      </c>
      <c r="B63" s="505" t="s">
        <v>391</v>
      </c>
      <c r="C63" s="371" t="s">
        <v>10</v>
      </c>
      <c r="D63" s="371" t="s">
        <v>21</v>
      </c>
      <c r="E63" s="495" t="s">
        <v>359</v>
      </c>
      <c r="F63" s="548">
        <v>2004</v>
      </c>
      <c r="G63" s="506">
        <f>H63</f>
        <v>5033.476496405683</v>
      </c>
      <c r="H63" s="507">
        <f t="shared" si="0"/>
        <v>5033.476496405683</v>
      </c>
      <c r="I63" s="508">
        <v>10</v>
      </c>
      <c r="J63" s="524"/>
      <c r="K63" s="499"/>
      <c r="L63" s="516"/>
      <c r="M63" s="481"/>
      <c r="N63" s="524"/>
      <c r="O63" s="499"/>
      <c r="P63" s="516"/>
      <c r="Q63" s="481"/>
      <c r="R63" s="524"/>
      <c r="S63" s="499"/>
      <c r="T63" s="516"/>
      <c r="U63" s="481"/>
      <c r="V63" s="524"/>
      <c r="W63" s="499"/>
      <c r="X63" s="516"/>
      <c r="Y63" s="481"/>
      <c r="Z63" s="524" t="s">
        <v>397</v>
      </c>
      <c r="AA63" s="499" t="s">
        <v>173</v>
      </c>
      <c r="AB63" s="513">
        <v>0.009976851851851853</v>
      </c>
      <c r="AC63" s="481">
        <v>630</v>
      </c>
      <c r="AD63" s="524" t="s">
        <v>397</v>
      </c>
      <c r="AE63" s="499" t="s">
        <v>173</v>
      </c>
      <c r="AF63" s="513">
        <v>0.05672453703703704</v>
      </c>
      <c r="AG63" s="481">
        <v>567</v>
      </c>
      <c r="AH63" s="524" t="s">
        <v>397</v>
      </c>
      <c r="AI63" s="499" t="s">
        <v>173</v>
      </c>
      <c r="AJ63" s="513">
        <v>0.03008101851851852</v>
      </c>
      <c r="AK63" s="481">
        <v>567</v>
      </c>
      <c r="AL63" s="509" t="s">
        <v>644</v>
      </c>
      <c r="AM63" s="509" t="s">
        <v>627</v>
      </c>
      <c r="AN63" s="513">
        <v>0.0604050925925926</v>
      </c>
      <c r="AO63" s="481">
        <v>436.0050890585241</v>
      </c>
      <c r="AP63" s="509" t="s">
        <v>644</v>
      </c>
      <c r="AQ63" s="509" t="s">
        <v>173</v>
      </c>
      <c r="AR63" s="513">
        <v>0.019039351851851852</v>
      </c>
      <c r="AS63" s="481">
        <v>493.5991957104559</v>
      </c>
      <c r="AT63" s="524"/>
      <c r="AU63" s="524"/>
      <c r="AV63" s="516"/>
      <c r="AW63" s="481"/>
      <c r="AX63" s="524"/>
      <c r="AY63" s="524"/>
      <c r="AZ63" s="526"/>
      <c r="BA63" s="481"/>
      <c r="BB63" s="524"/>
      <c r="BC63" s="524"/>
      <c r="BD63" s="516"/>
      <c r="BE63" s="481"/>
      <c r="BF63" s="499"/>
      <c r="BG63" s="499"/>
      <c r="BH63" s="498"/>
      <c r="BI63" s="481"/>
      <c r="BJ63" s="499"/>
      <c r="BK63" s="499"/>
      <c r="BL63" s="516"/>
      <c r="BM63" s="481"/>
      <c r="BN63" s="499"/>
      <c r="BO63" s="499"/>
      <c r="BP63" s="526"/>
      <c r="BQ63" s="481"/>
      <c r="BR63" s="499"/>
      <c r="BS63" s="499"/>
      <c r="BT63" s="516"/>
      <c r="BU63" s="481"/>
      <c r="BV63" s="509" t="s">
        <v>738</v>
      </c>
      <c r="BW63" s="509" t="s">
        <v>172</v>
      </c>
      <c r="BX63" s="513">
        <v>0.05322916666666666</v>
      </c>
      <c r="BY63" s="481">
        <v>169.94356659142218</v>
      </c>
      <c r="BZ63" s="509" t="s">
        <v>738</v>
      </c>
      <c r="CA63" s="509" t="s">
        <v>172</v>
      </c>
      <c r="CB63" s="513">
        <v>0.07375</v>
      </c>
      <c r="CC63" s="481">
        <v>241.3854351687389</v>
      </c>
      <c r="CD63" s="509" t="s">
        <v>644</v>
      </c>
      <c r="CE63" s="509" t="s">
        <v>172</v>
      </c>
      <c r="CF63" s="512">
        <v>0.033726851851851855</v>
      </c>
      <c r="CG63" s="481">
        <v>528.5432098765432</v>
      </c>
      <c r="CH63" s="499"/>
      <c r="CI63" s="499"/>
      <c r="CJ63" s="526"/>
      <c r="CK63" s="481"/>
      <c r="CL63" s="499"/>
      <c r="CM63" s="499"/>
      <c r="CN63" s="526"/>
      <c r="CO63" s="481"/>
      <c r="CP63" s="499"/>
      <c r="CQ63" s="499"/>
      <c r="CR63" s="516"/>
      <c r="CS63" s="481"/>
      <c r="CT63" s="499"/>
      <c r="CU63" s="499"/>
      <c r="CV63" s="516"/>
      <c r="CW63" s="481"/>
      <c r="CX63" s="499" t="s">
        <v>397</v>
      </c>
      <c r="CY63" s="499" t="s">
        <v>158</v>
      </c>
      <c r="CZ63" s="526">
        <v>0.027175925925925926</v>
      </c>
      <c r="DA63" s="481">
        <v>700</v>
      </c>
      <c r="DB63" s="499" t="s">
        <v>397</v>
      </c>
      <c r="DC63" s="499" t="s">
        <v>158</v>
      </c>
      <c r="DD63" s="526">
        <v>0.03640046296296296</v>
      </c>
      <c r="DE63" s="481">
        <v>700</v>
      </c>
    </row>
    <row r="64" spans="1:109" ht="12.75">
      <c r="A64" s="504">
        <v>50</v>
      </c>
      <c r="B64" s="505" t="s">
        <v>113</v>
      </c>
      <c r="C64" s="371" t="s">
        <v>10</v>
      </c>
      <c r="D64" s="371" t="s">
        <v>67</v>
      </c>
      <c r="E64" s="495" t="s">
        <v>375</v>
      </c>
      <c r="F64" s="548">
        <v>1967</v>
      </c>
      <c r="G64" s="506">
        <f>H64</f>
        <v>4980.073028490944</v>
      </c>
      <c r="H64" s="507">
        <f t="shared" si="0"/>
        <v>4980.073028490944</v>
      </c>
      <c r="I64" s="508">
        <v>7</v>
      </c>
      <c r="J64" s="524"/>
      <c r="K64" s="499"/>
      <c r="M64" s="491"/>
      <c r="N64" s="524"/>
      <c r="O64" s="499"/>
      <c r="P64" s="516"/>
      <c r="Q64" s="481"/>
      <c r="R64" s="524"/>
      <c r="S64" s="499"/>
      <c r="T64" s="516"/>
      <c r="U64" s="481"/>
      <c r="V64" s="524"/>
      <c r="W64" s="499"/>
      <c r="X64" s="516"/>
      <c r="Y64" s="481"/>
      <c r="Z64" s="509" t="s">
        <v>396</v>
      </c>
      <c r="AA64" s="509" t="s">
        <v>158</v>
      </c>
      <c r="AB64" s="520" t="s">
        <v>358</v>
      </c>
      <c r="AC64" s="481">
        <v>0</v>
      </c>
      <c r="AD64" s="509" t="s">
        <v>396</v>
      </c>
      <c r="AE64" s="509" t="s">
        <v>158</v>
      </c>
      <c r="AF64" s="513">
        <v>0.061643518518518514</v>
      </c>
      <c r="AG64" s="481">
        <v>765.6652360515023</v>
      </c>
      <c r="AH64" s="509" t="s">
        <v>396</v>
      </c>
      <c r="AI64" s="509" t="s">
        <v>158</v>
      </c>
      <c r="AJ64" s="513">
        <v>0.03824074074074074</v>
      </c>
      <c r="AK64" s="481">
        <v>823.671706263499</v>
      </c>
      <c r="AL64" s="509"/>
      <c r="AM64" s="509"/>
      <c r="AN64" s="509"/>
      <c r="AO64" s="481"/>
      <c r="AP64" s="509" t="s">
        <v>372</v>
      </c>
      <c r="AQ64" s="509" t="s">
        <v>2</v>
      </c>
      <c r="AR64" s="513">
        <v>0.018784722222222223</v>
      </c>
      <c r="AS64" s="481">
        <v>880.0000000000001</v>
      </c>
      <c r="AT64" s="509" t="s">
        <v>633</v>
      </c>
      <c r="AU64" s="509" t="s">
        <v>2</v>
      </c>
      <c r="AV64" s="513">
        <v>0.020474537037037038</v>
      </c>
      <c r="AW64" s="481">
        <v>790.7360861759427</v>
      </c>
      <c r="AX64" s="509" t="s">
        <v>633</v>
      </c>
      <c r="AY64" s="509" t="s">
        <v>2</v>
      </c>
      <c r="AZ64" s="513">
        <v>0.028101851851851854</v>
      </c>
      <c r="BA64" s="481">
        <v>840</v>
      </c>
      <c r="BB64" s="509"/>
      <c r="BC64" s="509"/>
      <c r="BD64" s="509"/>
      <c r="BE64" s="481"/>
      <c r="BF64" s="499"/>
      <c r="BG64" s="509"/>
      <c r="BI64" s="540"/>
      <c r="BJ64" s="509"/>
      <c r="BK64" s="509"/>
      <c r="BL64" s="501"/>
      <c r="BM64" s="540"/>
      <c r="BN64" s="509"/>
      <c r="BO64" s="509"/>
      <c r="BP64" s="501"/>
      <c r="BQ64" s="540"/>
      <c r="BR64" s="509"/>
      <c r="BS64" s="509"/>
      <c r="BT64" s="501"/>
      <c r="BU64" s="481"/>
      <c r="BV64" s="499"/>
      <c r="BW64" s="499"/>
      <c r="BX64" s="516"/>
      <c r="BY64" s="481"/>
      <c r="BZ64" s="499"/>
      <c r="CA64" s="499"/>
      <c r="CB64" s="516"/>
      <c r="CC64" s="481"/>
      <c r="CD64" s="509" t="s">
        <v>372</v>
      </c>
      <c r="CE64" s="509" t="s">
        <v>2</v>
      </c>
      <c r="CF64" s="512">
        <v>0.03560185185185185</v>
      </c>
      <c r="CG64" s="481">
        <v>880.0000000000001</v>
      </c>
      <c r="CH64" s="499"/>
      <c r="CI64" s="499"/>
      <c r="CJ64" s="526"/>
      <c r="CK64" s="481"/>
      <c r="CL64" s="499"/>
      <c r="CM64" s="499"/>
      <c r="CN64" s="526"/>
      <c r="CO64" s="481"/>
      <c r="CP64" s="499"/>
      <c r="CQ64" s="499"/>
      <c r="CR64" s="526"/>
      <c r="CS64" s="481"/>
      <c r="CT64" s="499"/>
      <c r="CU64" s="499"/>
      <c r="CV64" s="526"/>
      <c r="CW64" s="481"/>
      <c r="CX64" s="499"/>
      <c r="CY64" s="499"/>
      <c r="CZ64" s="526"/>
      <c r="DA64" s="481"/>
      <c r="DB64" s="499"/>
      <c r="DC64" s="499"/>
      <c r="DD64" s="526"/>
      <c r="DE64" s="481"/>
    </row>
    <row r="65" spans="1:109" ht="12.75">
      <c r="A65" s="504">
        <v>51</v>
      </c>
      <c r="B65" s="522" t="s">
        <v>497</v>
      </c>
      <c r="C65" s="371" t="s">
        <v>498</v>
      </c>
      <c r="D65" s="371" t="s">
        <v>499</v>
      </c>
      <c r="F65" s="548"/>
      <c r="G65" s="506">
        <f>H65</f>
        <v>4841.227008756834</v>
      </c>
      <c r="H65" s="507">
        <f t="shared" si="0"/>
        <v>4841.227008756834</v>
      </c>
      <c r="I65" s="508">
        <v>8</v>
      </c>
      <c r="J65" s="524"/>
      <c r="K65" s="499"/>
      <c r="M65" s="491"/>
      <c r="N65" s="524"/>
      <c r="O65" s="499"/>
      <c r="P65" s="516"/>
      <c r="Q65" s="481"/>
      <c r="R65" s="524"/>
      <c r="S65" s="499"/>
      <c r="T65" s="516"/>
      <c r="U65" s="481"/>
      <c r="V65" s="524"/>
      <c r="W65" s="499"/>
      <c r="X65" s="516"/>
      <c r="Y65" s="481"/>
      <c r="Z65" s="509" t="s">
        <v>443</v>
      </c>
      <c r="AA65" s="509" t="s">
        <v>1</v>
      </c>
      <c r="AB65" s="520">
        <v>0.014270833333333335</v>
      </c>
      <c r="AC65" s="481">
        <v>994.4064901793338</v>
      </c>
      <c r="AD65" s="509" t="s">
        <v>443</v>
      </c>
      <c r="AE65" s="509" t="s">
        <v>1</v>
      </c>
      <c r="AF65" s="520">
        <v>0.0661574074074074</v>
      </c>
      <c r="AG65" s="481">
        <v>973.5360360360362</v>
      </c>
      <c r="AH65" s="509" t="s">
        <v>443</v>
      </c>
      <c r="AI65" s="509" t="s">
        <v>1</v>
      </c>
      <c r="AJ65" s="501" t="s">
        <v>358</v>
      </c>
      <c r="AK65" s="481">
        <v>0</v>
      </c>
      <c r="AL65" s="524"/>
      <c r="AM65" s="537"/>
      <c r="AN65" s="526"/>
      <c r="AO65" s="481"/>
      <c r="AP65" s="524"/>
      <c r="AQ65" s="498"/>
      <c r="AR65" s="526"/>
      <c r="AS65" s="481"/>
      <c r="AT65" s="509" t="s">
        <v>377</v>
      </c>
      <c r="AU65" s="509" t="s">
        <v>1</v>
      </c>
      <c r="AV65" s="513">
        <v>0.02238425925925926</v>
      </c>
      <c r="AW65" s="481">
        <v>873.7318840579712</v>
      </c>
      <c r="AX65" s="509" t="s">
        <v>377</v>
      </c>
      <c r="AY65" s="509" t="s">
        <v>1</v>
      </c>
      <c r="AZ65" s="513">
        <v>0.03414351851851852</v>
      </c>
      <c r="BA65" s="481">
        <v>990.9774436090224</v>
      </c>
      <c r="BB65" s="509" t="s">
        <v>377</v>
      </c>
      <c r="BC65" s="509" t="s">
        <v>1</v>
      </c>
      <c r="BD65" s="509" t="s">
        <v>685</v>
      </c>
      <c r="BE65" s="481">
        <v>0</v>
      </c>
      <c r="BF65" s="499"/>
      <c r="BG65" s="499"/>
      <c r="BH65" s="526"/>
      <c r="BI65" s="481"/>
      <c r="BJ65" s="499"/>
      <c r="BK65" s="499"/>
      <c r="BL65" s="516"/>
      <c r="BM65" s="481"/>
      <c r="BN65" s="499"/>
      <c r="BO65" s="499"/>
      <c r="BP65" s="526"/>
      <c r="BQ65" s="481"/>
      <c r="BR65" s="499"/>
      <c r="BS65" s="499"/>
      <c r="BT65" s="526"/>
      <c r="BU65" s="481"/>
      <c r="BV65" s="509" t="s">
        <v>237</v>
      </c>
      <c r="BW65" s="509" t="s">
        <v>1</v>
      </c>
      <c r="BX65" s="509" t="s">
        <v>358</v>
      </c>
      <c r="BY65" s="481">
        <v>0</v>
      </c>
      <c r="BZ65" s="509" t="s">
        <v>237</v>
      </c>
      <c r="CA65" s="509" t="s">
        <v>1</v>
      </c>
      <c r="CB65" s="513">
        <v>0.07379629629629629</v>
      </c>
      <c r="CC65" s="481">
        <v>1008.5751548744703</v>
      </c>
      <c r="CD65" s="499"/>
      <c r="CE65" s="499"/>
      <c r="CF65" s="516"/>
      <c r="CG65" s="481"/>
      <c r="CH65" s="499"/>
      <c r="CI65" s="499"/>
      <c r="CJ65" s="516"/>
      <c r="CK65" s="481"/>
      <c r="CL65" s="499"/>
      <c r="CM65" s="499"/>
      <c r="CN65" s="516"/>
      <c r="CO65" s="481"/>
      <c r="CP65" s="499"/>
      <c r="CQ65" s="499"/>
      <c r="CR65" s="516"/>
      <c r="CS65" s="481"/>
      <c r="CT65" s="499"/>
      <c r="CU65" s="499"/>
      <c r="CV65" s="516"/>
      <c r="CW65" s="481"/>
      <c r="CX65" s="499"/>
      <c r="CY65" s="499"/>
      <c r="CZ65" s="526"/>
      <c r="DA65" s="481"/>
      <c r="DB65" s="499"/>
      <c r="DC65" s="499"/>
      <c r="DD65" s="526"/>
      <c r="DE65" s="481"/>
    </row>
    <row r="66" spans="1:109" ht="12.75">
      <c r="A66" s="504">
        <v>52</v>
      </c>
      <c r="B66" s="505" t="s">
        <v>144</v>
      </c>
      <c r="C66" s="371" t="s">
        <v>10</v>
      </c>
      <c r="D66" s="371" t="s">
        <v>145</v>
      </c>
      <c r="E66" s="495" t="s">
        <v>375</v>
      </c>
      <c r="F66" s="548">
        <v>1967</v>
      </c>
      <c r="G66" s="506">
        <f>H66-AS66-BI66-BM66-CG66-DE66</f>
        <v>4797.009167719748</v>
      </c>
      <c r="H66" s="507">
        <f t="shared" si="0"/>
        <v>5228.650425360491</v>
      </c>
      <c r="I66" s="508">
        <v>17</v>
      </c>
      <c r="J66" s="524" t="s">
        <v>571</v>
      </c>
      <c r="K66" s="499" t="s">
        <v>2</v>
      </c>
      <c r="L66" s="516">
        <v>0.04503472222222222</v>
      </c>
      <c r="M66" s="481">
        <v>507.78947368421063</v>
      </c>
      <c r="N66" s="524"/>
      <c r="O66" s="499"/>
      <c r="P66" s="516"/>
      <c r="Q66" s="481"/>
      <c r="R66" s="524"/>
      <c r="S66" s="499"/>
      <c r="T66" s="516"/>
      <c r="U66" s="481"/>
      <c r="V66" s="524"/>
      <c r="W66" s="499"/>
      <c r="X66" s="516"/>
      <c r="Y66" s="481"/>
      <c r="Z66" s="509" t="s">
        <v>396</v>
      </c>
      <c r="AA66" s="509" t="s">
        <v>158</v>
      </c>
      <c r="AB66" s="513">
        <v>0.015509259259259257</v>
      </c>
      <c r="AC66" s="481">
        <v>501.3612565445027</v>
      </c>
      <c r="AD66" s="509" t="s">
        <v>396</v>
      </c>
      <c r="AE66" s="509" t="s">
        <v>158</v>
      </c>
      <c r="AF66" s="513">
        <v>0.08586805555555556</v>
      </c>
      <c r="AG66" s="481">
        <v>406.351931330472</v>
      </c>
      <c r="AH66" s="509" t="s">
        <v>396</v>
      </c>
      <c r="AI66" s="509" t="s">
        <v>158</v>
      </c>
      <c r="AJ66" s="513">
        <v>0.06048611111111111</v>
      </c>
      <c r="AK66" s="481">
        <v>325.5291576673865</v>
      </c>
      <c r="AL66" s="509" t="s">
        <v>372</v>
      </c>
      <c r="AM66" s="509" t="s">
        <v>158</v>
      </c>
      <c r="AN66" s="513">
        <v>0.10890046296296296</v>
      </c>
      <c r="AO66" s="481">
        <v>304.57373879416417</v>
      </c>
      <c r="AP66" s="509" t="s">
        <v>372</v>
      </c>
      <c r="AQ66" s="509" t="s">
        <v>2</v>
      </c>
      <c r="AR66" s="501" t="s">
        <v>358</v>
      </c>
      <c r="AS66" s="546">
        <v>0</v>
      </c>
      <c r="AT66" s="524"/>
      <c r="AU66" s="524"/>
      <c r="AV66" s="526"/>
      <c r="AW66" s="481"/>
      <c r="AX66" s="524"/>
      <c r="AY66" s="524"/>
      <c r="AZ66" s="516"/>
      <c r="BA66" s="481"/>
      <c r="BB66" s="524"/>
      <c r="BC66" s="524"/>
      <c r="BD66" s="516"/>
      <c r="BE66" s="481"/>
      <c r="BF66" s="509" t="s">
        <v>743</v>
      </c>
      <c r="BG66" s="509" t="s">
        <v>158</v>
      </c>
      <c r="BH66" s="509" t="s">
        <v>358</v>
      </c>
      <c r="BI66" s="546">
        <v>0</v>
      </c>
      <c r="BJ66" s="509" t="s">
        <v>743</v>
      </c>
      <c r="BK66" s="509" t="s">
        <v>158</v>
      </c>
      <c r="BL66" s="509" t="s">
        <v>358</v>
      </c>
      <c r="BM66" s="546">
        <v>0</v>
      </c>
      <c r="BN66" s="509" t="s">
        <v>743</v>
      </c>
      <c r="BO66" s="509" t="s">
        <v>158</v>
      </c>
      <c r="BP66" s="513">
        <v>0.0581712962962963</v>
      </c>
      <c r="BQ66" s="546">
        <v>259.57860615883305</v>
      </c>
      <c r="BR66" s="509" t="s">
        <v>743</v>
      </c>
      <c r="BS66" s="509" t="s">
        <v>158</v>
      </c>
      <c r="BT66" s="513">
        <v>0.03575231481481481</v>
      </c>
      <c r="BU66" s="481">
        <v>366.8896321070233</v>
      </c>
      <c r="BV66" s="499"/>
      <c r="BW66" s="499"/>
      <c r="BX66" s="516"/>
      <c r="BY66" s="481"/>
      <c r="BZ66" s="499"/>
      <c r="CA66" s="499"/>
      <c r="CB66" s="516"/>
      <c r="CC66" s="481"/>
      <c r="CD66" s="509" t="s">
        <v>651</v>
      </c>
      <c r="CE66" s="509" t="s">
        <v>2</v>
      </c>
      <c r="CF66" s="513">
        <v>0.06320601851851852</v>
      </c>
      <c r="CG66" s="546">
        <v>197.68530559167735</v>
      </c>
      <c r="CH66" s="499" t="s">
        <v>223</v>
      </c>
      <c r="CI66" s="499" t="s">
        <v>158</v>
      </c>
      <c r="CJ66" s="525">
        <v>0.013796296296296298</v>
      </c>
      <c r="CK66" s="481">
        <v>330.25641025641016</v>
      </c>
      <c r="CL66" s="499" t="s">
        <v>223</v>
      </c>
      <c r="CM66" s="499" t="s">
        <v>158</v>
      </c>
      <c r="CN66" s="513">
        <v>0.052071759259259255</v>
      </c>
      <c r="CO66" s="481">
        <v>525.6801776790674</v>
      </c>
      <c r="CP66" s="499" t="s">
        <v>855</v>
      </c>
      <c r="CQ66" s="499" t="s">
        <v>2</v>
      </c>
      <c r="CR66" s="513">
        <v>0.05458333333333334</v>
      </c>
      <c r="CS66" s="481">
        <v>415.8192090395479</v>
      </c>
      <c r="CT66" s="499" t="s">
        <v>855</v>
      </c>
      <c r="CU66" s="499" t="s">
        <v>2</v>
      </c>
      <c r="CV66" s="513">
        <v>0.021354166666666664</v>
      </c>
      <c r="CW66" s="481">
        <v>512.3065585851144</v>
      </c>
      <c r="CX66" s="499" t="s">
        <v>872</v>
      </c>
      <c r="CY66" s="499" t="s">
        <v>2</v>
      </c>
      <c r="CZ66" s="526">
        <v>0.07344907407407407</v>
      </c>
      <c r="DA66" s="481">
        <v>340.873015873016</v>
      </c>
      <c r="DB66" s="499" t="s">
        <v>872</v>
      </c>
      <c r="DC66" s="499" t="s">
        <v>2</v>
      </c>
      <c r="DD66" s="513">
        <v>0.0708912037037037</v>
      </c>
      <c r="DE66" s="546">
        <v>233.95595204906598</v>
      </c>
    </row>
    <row r="67" spans="1:109" ht="12.75">
      <c r="A67" s="504">
        <v>53</v>
      </c>
      <c r="B67" s="505" t="s">
        <v>267</v>
      </c>
      <c r="C67" s="371" t="s">
        <v>10</v>
      </c>
      <c r="D67" s="371" t="s">
        <v>11</v>
      </c>
      <c r="F67" s="190">
        <v>1978</v>
      </c>
      <c r="G67" s="506">
        <f>H67-AO67-BQ67-CG67-Q67-DA67</f>
        <v>4733.985328068562</v>
      </c>
      <c r="H67" s="507">
        <f t="shared" si="0"/>
        <v>4949.287819171765</v>
      </c>
      <c r="I67" s="508">
        <v>17</v>
      </c>
      <c r="J67" s="509" t="s">
        <v>550</v>
      </c>
      <c r="K67" s="509" t="s">
        <v>2</v>
      </c>
      <c r="L67" s="513">
        <v>0.055081018518518515</v>
      </c>
      <c r="M67" s="481">
        <v>264.14035087719316</v>
      </c>
      <c r="N67" s="509" t="s">
        <v>551</v>
      </c>
      <c r="O67" s="509" t="s">
        <v>1</v>
      </c>
      <c r="P67" s="501" t="s">
        <v>358</v>
      </c>
      <c r="Q67" s="546">
        <v>0</v>
      </c>
      <c r="R67" s="524"/>
      <c r="S67" s="499"/>
      <c r="U67" s="491"/>
      <c r="V67" s="524"/>
      <c r="W67" s="499"/>
      <c r="Y67" s="491"/>
      <c r="Z67" s="513"/>
      <c r="AA67" s="509"/>
      <c r="AB67" s="513"/>
      <c r="AC67" s="481"/>
      <c r="AD67" s="513" t="s">
        <v>569</v>
      </c>
      <c r="AE67" s="509" t="s">
        <v>158</v>
      </c>
      <c r="AF67" s="513">
        <v>0.09653935185185185</v>
      </c>
      <c r="AG67" s="481">
        <v>248.06866952789701</v>
      </c>
      <c r="AH67" s="513" t="s">
        <v>569</v>
      </c>
      <c r="AI67" s="509" t="s">
        <v>158</v>
      </c>
      <c r="AJ67" s="520" t="s">
        <v>358</v>
      </c>
      <c r="AK67" s="546">
        <v>0</v>
      </c>
      <c r="AL67" s="509" t="s">
        <v>625</v>
      </c>
      <c r="AM67" s="509" t="s">
        <v>1</v>
      </c>
      <c r="AN67" s="518" t="s">
        <v>358</v>
      </c>
      <c r="AO67" s="546">
        <v>0</v>
      </c>
      <c r="AP67" s="509" t="s">
        <v>625</v>
      </c>
      <c r="AQ67" s="509" t="s">
        <v>1</v>
      </c>
      <c r="AR67" s="513">
        <v>0.032685185185185185</v>
      </c>
      <c r="AS67" s="481">
        <v>398.14385150812086</v>
      </c>
      <c r="AT67" s="509" t="s">
        <v>737</v>
      </c>
      <c r="AU67" s="509" t="s">
        <v>2</v>
      </c>
      <c r="AV67" s="513">
        <v>0.02711805555555555</v>
      </c>
      <c r="AW67" s="481">
        <v>502.1903052064635</v>
      </c>
      <c r="AX67" s="509" t="s">
        <v>737</v>
      </c>
      <c r="AY67" s="509" t="s">
        <v>2</v>
      </c>
      <c r="AZ67" s="513">
        <v>0.04793981481481482</v>
      </c>
      <c r="BA67" s="546">
        <v>247.0181219110379</v>
      </c>
      <c r="BB67" s="509" t="s">
        <v>737</v>
      </c>
      <c r="BC67" s="509" t="s">
        <v>2</v>
      </c>
      <c r="BD67" s="513">
        <v>0.06229166666666667</v>
      </c>
      <c r="BE67" s="481">
        <v>326.0377358490565</v>
      </c>
      <c r="BF67" s="509" t="s">
        <v>742</v>
      </c>
      <c r="BG67" s="509" t="s">
        <v>2</v>
      </c>
      <c r="BH67" s="513">
        <v>0.042986111111111114</v>
      </c>
      <c r="BI67" s="481">
        <v>413.892215568862</v>
      </c>
      <c r="BJ67" s="509" t="s">
        <v>742</v>
      </c>
      <c r="BK67" s="509" t="s">
        <v>2</v>
      </c>
      <c r="BL67" s="513">
        <v>0.013483796296296298</v>
      </c>
      <c r="BM67" s="481">
        <v>684.4793713163064</v>
      </c>
      <c r="BN67" s="509" t="s">
        <v>742</v>
      </c>
      <c r="BO67" s="509" t="s">
        <v>2</v>
      </c>
      <c r="BP67" s="509" t="s">
        <v>358</v>
      </c>
      <c r="BQ67" s="546">
        <v>0</v>
      </c>
      <c r="BR67" s="509" t="s">
        <v>742</v>
      </c>
      <c r="BS67" s="509" t="s">
        <v>2</v>
      </c>
      <c r="BT67" s="513">
        <v>0.04603009259259259</v>
      </c>
      <c r="BU67" s="481">
        <v>554.1091387245235</v>
      </c>
      <c r="BV67" s="499"/>
      <c r="BW67" s="499"/>
      <c r="BX67" s="526"/>
      <c r="BY67" s="481"/>
      <c r="BZ67" s="499"/>
      <c r="CA67" s="499"/>
      <c r="CB67" s="526"/>
      <c r="CC67" s="481"/>
      <c r="CD67" s="509" t="s">
        <v>292</v>
      </c>
      <c r="CE67" s="509" t="s">
        <v>1</v>
      </c>
      <c r="CF67" s="513">
        <v>0.06454861111111111</v>
      </c>
      <c r="CG67" s="546">
        <v>215.30249110320278</v>
      </c>
      <c r="CH67" s="499"/>
      <c r="CI67" s="499"/>
      <c r="CJ67" s="513"/>
      <c r="CK67" s="481"/>
      <c r="CL67" s="499"/>
      <c r="CM67" s="499"/>
      <c r="CN67" s="526"/>
      <c r="CO67" s="481"/>
      <c r="CP67" s="499" t="s">
        <v>839</v>
      </c>
      <c r="CQ67" s="499" t="s">
        <v>1</v>
      </c>
      <c r="CR67" s="513">
        <v>0.047407407407407405</v>
      </c>
      <c r="CS67" s="481">
        <v>590.50240880936</v>
      </c>
      <c r="CT67" s="499" t="s">
        <v>839</v>
      </c>
      <c r="CU67" s="499" t="s">
        <v>1</v>
      </c>
      <c r="CV67" s="513">
        <v>0.020810185185185185</v>
      </c>
      <c r="CW67" s="481">
        <v>505.4031587697423</v>
      </c>
      <c r="CX67" s="499" t="s">
        <v>443</v>
      </c>
      <c r="CY67" s="499" t="s">
        <v>1</v>
      </c>
      <c r="CZ67" s="516" t="s">
        <v>358</v>
      </c>
      <c r="DA67" s="546">
        <v>0</v>
      </c>
      <c r="DB67" s="499"/>
      <c r="DC67" s="499"/>
      <c r="DD67" s="513"/>
      <c r="DE67" s="481"/>
    </row>
    <row r="68" spans="1:109" ht="12.75">
      <c r="A68" s="504">
        <v>54</v>
      </c>
      <c r="B68" s="505" t="s">
        <v>212</v>
      </c>
      <c r="C68" s="371" t="s">
        <v>10</v>
      </c>
      <c r="D68" s="371" t="s">
        <v>192</v>
      </c>
      <c r="E68" s="495" t="s">
        <v>359</v>
      </c>
      <c r="F68" s="548">
        <v>2003</v>
      </c>
      <c r="G68" s="506">
        <f>H68-AW68-BA68</f>
        <v>4684.796259264374</v>
      </c>
      <c r="H68" s="507">
        <f t="shared" si="0"/>
        <v>4767.827560747076</v>
      </c>
      <c r="I68" s="508">
        <v>14</v>
      </c>
      <c r="J68" s="524" t="s">
        <v>573</v>
      </c>
      <c r="K68" s="499" t="s">
        <v>2</v>
      </c>
      <c r="L68" s="526">
        <v>0.0508912037037037</v>
      </c>
      <c r="M68" s="481">
        <v>365.7543859649124</v>
      </c>
      <c r="N68" s="524" t="s">
        <v>0</v>
      </c>
      <c r="O68" s="499" t="s">
        <v>2</v>
      </c>
      <c r="P68" s="516">
        <v>0.06763888888888889</v>
      </c>
      <c r="Q68" s="481">
        <v>500.9873060648802</v>
      </c>
      <c r="R68" s="524"/>
      <c r="S68" s="499"/>
      <c r="T68" s="516"/>
      <c r="U68" s="481"/>
      <c r="V68" s="524"/>
      <c r="W68" s="499"/>
      <c r="X68" s="516"/>
      <c r="Y68" s="481"/>
      <c r="Z68" s="524"/>
      <c r="AA68" s="499"/>
      <c r="AB68" s="516"/>
      <c r="AC68" s="481"/>
      <c r="AD68" s="524"/>
      <c r="AE68" s="524"/>
      <c r="AF68" s="516"/>
      <c r="AG68" s="491"/>
      <c r="AH68" s="524"/>
      <c r="AI68" s="524"/>
      <c r="AJ68" s="516"/>
      <c r="AK68" s="481"/>
      <c r="AL68" s="524"/>
      <c r="AM68" s="537"/>
      <c r="AN68" s="516"/>
      <c r="AO68" s="481"/>
      <c r="AP68" s="524"/>
      <c r="AQ68" s="498"/>
      <c r="AR68" s="535"/>
      <c r="AS68" s="481"/>
      <c r="AT68" s="509" t="s">
        <v>632</v>
      </c>
      <c r="AU68" s="509" t="s">
        <v>2</v>
      </c>
      <c r="AV68" s="509" t="s">
        <v>685</v>
      </c>
      <c r="AW68" s="546">
        <v>0</v>
      </c>
      <c r="AX68" s="509" t="s">
        <v>632</v>
      </c>
      <c r="AY68" s="509" t="s">
        <v>2</v>
      </c>
      <c r="AZ68" s="513">
        <v>0.053425925925925925</v>
      </c>
      <c r="BA68" s="546">
        <v>83.03130148270189</v>
      </c>
      <c r="BB68" s="509" t="s">
        <v>632</v>
      </c>
      <c r="BC68" s="509" t="s">
        <v>2</v>
      </c>
      <c r="BD68" s="513">
        <v>0.06332175925925926</v>
      </c>
      <c r="BE68" s="481">
        <v>303.6477987421384</v>
      </c>
      <c r="BF68" s="509" t="s">
        <v>739</v>
      </c>
      <c r="BG68" s="509" t="s">
        <v>158</v>
      </c>
      <c r="BH68" s="513">
        <v>0.04143518518518518</v>
      </c>
      <c r="BI68" s="481">
        <v>226.22950819672155</v>
      </c>
      <c r="BJ68" s="509" t="s">
        <v>739</v>
      </c>
      <c r="BK68" s="509" t="s">
        <v>158</v>
      </c>
      <c r="BL68" s="513">
        <v>0.014340277777777776</v>
      </c>
      <c r="BM68" s="481">
        <v>492.7824267782427</v>
      </c>
      <c r="BN68" s="509" t="s">
        <v>739</v>
      </c>
      <c r="BO68" s="509" t="s">
        <v>158</v>
      </c>
      <c r="BP68" s="513">
        <v>0.06427083333333333</v>
      </c>
      <c r="BQ68" s="481">
        <v>139.99999999999997</v>
      </c>
      <c r="BR68" s="509" t="s">
        <v>739</v>
      </c>
      <c r="BS68" s="509" t="s">
        <v>158</v>
      </c>
      <c r="BT68" s="513">
        <v>0.036111111111111115</v>
      </c>
      <c r="BU68" s="481">
        <v>356.5217391304345</v>
      </c>
      <c r="BV68" s="509" t="s">
        <v>738</v>
      </c>
      <c r="BW68" s="509" t="s">
        <v>172</v>
      </c>
      <c r="BX68" s="513">
        <v>0.055844907407407406</v>
      </c>
      <c r="BY68" s="481">
        <v>116.37697516930011</v>
      </c>
      <c r="BZ68" s="509" t="s">
        <v>738</v>
      </c>
      <c r="CA68" s="509" t="s">
        <v>172</v>
      </c>
      <c r="CB68" s="513">
        <v>0.05831018518518519</v>
      </c>
      <c r="CC68" s="481">
        <v>454.63587921847244</v>
      </c>
      <c r="CD68" s="509" t="s">
        <v>644</v>
      </c>
      <c r="CE68" s="509" t="s">
        <v>172</v>
      </c>
      <c r="CF68" s="512">
        <v>0.03262731481481482</v>
      </c>
      <c r="CG68" s="481">
        <v>554.3456790123457</v>
      </c>
      <c r="CH68" s="499"/>
      <c r="CI68" s="499"/>
      <c r="CJ68" s="526"/>
      <c r="CK68" s="481"/>
      <c r="CL68" s="499"/>
      <c r="CM68" s="499"/>
      <c r="CN68" s="526"/>
      <c r="CO68" s="481"/>
      <c r="CP68" s="499" t="s">
        <v>856</v>
      </c>
      <c r="CQ68" s="499" t="s">
        <v>2</v>
      </c>
      <c r="CR68" s="513">
        <v>0.049386574074074076</v>
      </c>
      <c r="CS68" s="481">
        <v>528.5624607658506</v>
      </c>
      <c r="CT68" s="499" t="s">
        <v>856</v>
      </c>
      <c r="CU68" s="499" t="s">
        <v>2</v>
      </c>
      <c r="CV68" s="513">
        <v>0.01875</v>
      </c>
      <c r="CW68" s="481">
        <v>644.9521002210759</v>
      </c>
      <c r="CX68" s="499"/>
      <c r="CY68" s="499"/>
      <c r="CZ68" s="516"/>
      <c r="DA68" s="481"/>
      <c r="DB68" s="509"/>
      <c r="DC68" s="509"/>
      <c r="DD68" s="520"/>
      <c r="DE68" s="515"/>
    </row>
    <row r="69" spans="1:109" ht="12.75">
      <c r="A69" s="504">
        <v>55</v>
      </c>
      <c r="B69" s="505" t="s">
        <v>205</v>
      </c>
      <c r="C69" s="371" t="s">
        <v>10</v>
      </c>
      <c r="D69" s="371" t="s">
        <v>192</v>
      </c>
      <c r="E69" s="495" t="s">
        <v>359</v>
      </c>
      <c r="F69" s="190">
        <v>2003</v>
      </c>
      <c r="G69" s="506">
        <f>H69-BA69-AW69-AC69-M69-BY69</f>
        <v>4597.126587405489</v>
      </c>
      <c r="H69" s="507">
        <f t="shared" si="0"/>
        <v>4660.309431649281</v>
      </c>
      <c r="I69" s="508">
        <v>17</v>
      </c>
      <c r="J69" s="524" t="s">
        <v>573</v>
      </c>
      <c r="K69" s="499" t="s">
        <v>2</v>
      </c>
      <c r="L69" s="516" t="s">
        <v>358</v>
      </c>
      <c r="M69" s="546">
        <v>0</v>
      </c>
      <c r="N69" s="524" t="s">
        <v>0</v>
      </c>
      <c r="O69" s="499" t="s">
        <v>2</v>
      </c>
      <c r="P69" s="516">
        <v>0.06628472222222222</v>
      </c>
      <c r="Q69" s="481">
        <v>522.9901269393514</v>
      </c>
      <c r="R69" s="524"/>
      <c r="S69" s="499"/>
      <c r="U69" s="481"/>
      <c r="V69" s="524"/>
      <c r="W69" s="499"/>
      <c r="Y69" s="481"/>
      <c r="Z69" s="524" t="s">
        <v>578</v>
      </c>
      <c r="AA69" s="499" t="s">
        <v>172</v>
      </c>
      <c r="AB69" s="516">
        <v>0.023009259259259257</v>
      </c>
      <c r="AC69" s="546">
        <v>10</v>
      </c>
      <c r="AD69" s="524" t="s">
        <v>578</v>
      </c>
      <c r="AE69" s="499" t="s">
        <v>172</v>
      </c>
      <c r="AF69" s="516">
        <v>0.061550925925925926</v>
      </c>
      <c r="AG69" s="481">
        <v>524.4920174165459</v>
      </c>
      <c r="AH69" s="524" t="s">
        <v>578</v>
      </c>
      <c r="AI69" s="499" t="s">
        <v>172</v>
      </c>
      <c r="AJ69" s="516">
        <v>0.046655092592592595</v>
      </c>
      <c r="AK69" s="481">
        <v>366.13077496274207</v>
      </c>
      <c r="AL69" s="509" t="s">
        <v>644</v>
      </c>
      <c r="AM69" s="509" t="s">
        <v>627</v>
      </c>
      <c r="AN69" s="513">
        <v>0.0579050925925926</v>
      </c>
      <c r="AO69" s="481">
        <v>463.48600508905855</v>
      </c>
      <c r="AP69" s="509" t="s">
        <v>644</v>
      </c>
      <c r="AQ69" s="509" t="s">
        <v>173</v>
      </c>
      <c r="AR69" s="513">
        <v>0.02008101851851852</v>
      </c>
      <c r="AS69" s="481">
        <v>460.422252010724</v>
      </c>
      <c r="AT69" s="509" t="s">
        <v>632</v>
      </c>
      <c r="AU69" s="509" t="s">
        <v>2</v>
      </c>
      <c r="AV69" s="513">
        <v>0.039560185185185184</v>
      </c>
      <c r="AW69" s="546">
        <v>10</v>
      </c>
      <c r="AX69" s="509" t="s">
        <v>632</v>
      </c>
      <c r="AY69" s="509" t="s">
        <v>2</v>
      </c>
      <c r="AZ69" s="513">
        <v>0.05603009259259259</v>
      </c>
      <c r="BA69" s="546">
        <v>10</v>
      </c>
      <c r="BB69" s="509" t="s">
        <v>632</v>
      </c>
      <c r="BC69" s="509" t="s">
        <v>2</v>
      </c>
      <c r="BD69" s="513">
        <v>0.06533564814814814</v>
      </c>
      <c r="BE69" s="481">
        <v>259.87421383647796</v>
      </c>
      <c r="BF69" s="509" t="s">
        <v>739</v>
      </c>
      <c r="BG69" s="509" t="s">
        <v>158</v>
      </c>
      <c r="BH69" s="513">
        <v>0.04045138888888889</v>
      </c>
      <c r="BI69" s="481">
        <v>254.09836065573768</v>
      </c>
      <c r="BJ69" s="509" t="s">
        <v>739</v>
      </c>
      <c r="BK69" s="509" t="s">
        <v>158</v>
      </c>
      <c r="BL69" s="513">
        <v>0.01605324074074074</v>
      </c>
      <c r="BM69" s="481">
        <v>384.41422594142256</v>
      </c>
      <c r="BN69" s="509" t="s">
        <v>739</v>
      </c>
      <c r="BO69" s="509" t="s">
        <v>158</v>
      </c>
      <c r="BP69" s="513">
        <v>0.06400462962962962</v>
      </c>
      <c r="BQ69" s="481">
        <v>145.21880064829847</v>
      </c>
      <c r="BR69" s="509" t="s">
        <v>739</v>
      </c>
      <c r="BS69" s="509" t="s">
        <v>158</v>
      </c>
      <c r="BT69" s="513">
        <v>0.04090277777777778</v>
      </c>
      <c r="BU69" s="481">
        <v>218.06020066889607</v>
      </c>
      <c r="BV69" s="509" t="s">
        <v>738</v>
      </c>
      <c r="BW69" s="509" t="s">
        <v>172</v>
      </c>
      <c r="BX69" s="513">
        <v>0.05990740740740741</v>
      </c>
      <c r="BY69" s="546">
        <v>33.18284424379211</v>
      </c>
      <c r="BZ69" s="509" t="s">
        <v>738</v>
      </c>
      <c r="CA69" s="509" t="s">
        <v>172</v>
      </c>
      <c r="CB69" s="513">
        <v>0.06675925925925925</v>
      </c>
      <c r="CC69" s="481">
        <v>337.93960923623456</v>
      </c>
      <c r="CD69" s="509" t="s">
        <v>644</v>
      </c>
      <c r="CE69" s="509" t="s">
        <v>172</v>
      </c>
      <c r="CF69" s="512">
        <v>0.028125</v>
      </c>
      <c r="CG69" s="481">
        <v>660</v>
      </c>
      <c r="CH69" s="499"/>
      <c r="CI69" s="499"/>
      <c r="CJ69" s="526"/>
      <c r="CK69" s="481"/>
      <c r="CL69" s="499"/>
      <c r="CM69" s="499"/>
      <c r="CN69" s="526"/>
      <c r="CO69" s="481"/>
      <c r="CP69" s="499"/>
      <c r="CQ69" s="499"/>
      <c r="CR69" s="526"/>
      <c r="CS69" s="481"/>
      <c r="CT69" s="499"/>
      <c r="CU69" s="499"/>
      <c r="CV69" s="526"/>
      <c r="CW69" s="481"/>
      <c r="CX69" s="499"/>
      <c r="CY69" s="499"/>
      <c r="CZ69" s="526"/>
      <c r="DA69" s="481"/>
      <c r="DB69" s="499"/>
      <c r="DC69" s="499"/>
      <c r="DD69" s="516"/>
      <c r="DE69" s="481"/>
    </row>
    <row r="70" spans="1:109" ht="12.75">
      <c r="A70" s="504">
        <v>56</v>
      </c>
      <c r="B70" s="505" t="s">
        <v>206</v>
      </c>
      <c r="C70" s="371" t="s">
        <v>10</v>
      </c>
      <c r="D70" s="371" t="s">
        <v>192</v>
      </c>
      <c r="E70" s="495" t="s">
        <v>359</v>
      </c>
      <c r="F70" s="548">
        <v>2001</v>
      </c>
      <c r="G70" s="506">
        <f>H70-M70-AW70-BY70-BA70-AC70</f>
        <v>4506.456125472636</v>
      </c>
      <c r="H70" s="507">
        <f t="shared" si="0"/>
        <v>4648.886976536466</v>
      </c>
      <c r="I70" s="508">
        <v>17</v>
      </c>
      <c r="J70" s="524" t="s">
        <v>573</v>
      </c>
      <c r="K70" s="499" t="s">
        <v>2</v>
      </c>
      <c r="L70" s="516">
        <v>0.09055555555555556</v>
      </c>
      <c r="M70" s="546">
        <v>10</v>
      </c>
      <c r="N70" s="524" t="s">
        <v>0</v>
      </c>
      <c r="O70" s="499" t="s">
        <v>2</v>
      </c>
      <c r="P70" s="516">
        <v>0.06759259259259259</v>
      </c>
      <c r="Q70" s="481">
        <v>501.73953925716984</v>
      </c>
      <c r="R70" s="524"/>
      <c r="S70" s="499"/>
      <c r="T70" s="516"/>
      <c r="U70" s="481"/>
      <c r="V70" s="524"/>
      <c r="W70" s="499"/>
      <c r="X70" s="516"/>
      <c r="Y70" s="481"/>
      <c r="Z70" s="524" t="s">
        <v>578</v>
      </c>
      <c r="AA70" s="499" t="s">
        <v>172</v>
      </c>
      <c r="AB70" s="516">
        <v>0.020243055555555552</v>
      </c>
      <c r="AC70" s="546">
        <v>102.43085106383</v>
      </c>
      <c r="AD70" s="524" t="s">
        <v>578</v>
      </c>
      <c r="AE70" s="499" t="s">
        <v>172</v>
      </c>
      <c r="AF70" s="516">
        <v>0.06532407407407408</v>
      </c>
      <c r="AG70" s="481">
        <v>466.53120464441236</v>
      </c>
      <c r="AH70" s="524" t="s">
        <v>578</v>
      </c>
      <c r="AI70" s="499" t="s">
        <v>172</v>
      </c>
      <c r="AJ70" s="516">
        <v>0.046435185185185184</v>
      </c>
      <c r="AK70" s="481">
        <v>371.3338301043219</v>
      </c>
      <c r="AL70" s="509" t="s">
        <v>648</v>
      </c>
      <c r="AM70" s="509" t="s">
        <v>172</v>
      </c>
      <c r="AN70" s="513">
        <v>0.08657407407407408</v>
      </c>
      <c r="AO70" s="481">
        <v>603.7841352405721</v>
      </c>
      <c r="AP70" s="509" t="s">
        <v>648</v>
      </c>
      <c r="AQ70" s="509" t="s">
        <v>158</v>
      </c>
      <c r="AR70" s="513">
        <v>0.024328703703703703</v>
      </c>
      <c r="AS70" s="481">
        <v>570.2336728579987</v>
      </c>
      <c r="AT70" s="509" t="s">
        <v>632</v>
      </c>
      <c r="AU70" s="509" t="s">
        <v>2</v>
      </c>
      <c r="AV70" s="513">
        <v>0.04331018518518518</v>
      </c>
      <c r="AW70" s="546">
        <v>10</v>
      </c>
      <c r="AX70" s="509" t="s">
        <v>632</v>
      </c>
      <c r="AY70" s="509" t="s">
        <v>2</v>
      </c>
      <c r="AZ70" s="513">
        <v>0.06163194444444445</v>
      </c>
      <c r="BA70" s="546">
        <v>10</v>
      </c>
      <c r="BB70" s="509" t="s">
        <v>632</v>
      </c>
      <c r="BC70" s="509" t="s">
        <v>2</v>
      </c>
      <c r="BD70" s="513">
        <v>0.06527777777777778</v>
      </c>
      <c r="BE70" s="481">
        <v>261.132075471698</v>
      </c>
      <c r="BF70" s="509" t="s">
        <v>739</v>
      </c>
      <c r="BG70" s="509" t="s">
        <v>158</v>
      </c>
      <c r="BH70" s="513">
        <v>0.044814814814814814</v>
      </c>
      <c r="BI70" s="481">
        <v>130.49180327868854</v>
      </c>
      <c r="BJ70" s="509" t="s">
        <v>739</v>
      </c>
      <c r="BK70" s="509" t="s">
        <v>158</v>
      </c>
      <c r="BL70" s="513">
        <v>0.01792824074074074</v>
      </c>
      <c r="BM70" s="481">
        <v>265.7949790794977</v>
      </c>
      <c r="BN70" s="509" t="s">
        <v>739</v>
      </c>
      <c r="BO70" s="509" t="s">
        <v>158</v>
      </c>
      <c r="BP70" s="513">
        <v>0.05649305555555556</v>
      </c>
      <c r="BQ70" s="481">
        <v>292.47974068071306</v>
      </c>
      <c r="BR70" s="509" t="s">
        <v>739</v>
      </c>
      <c r="BS70" s="509" t="s">
        <v>158</v>
      </c>
      <c r="BT70" s="513">
        <v>0.041041666666666664</v>
      </c>
      <c r="BU70" s="481">
        <v>214.04682274247483</v>
      </c>
      <c r="BV70" s="509" t="s">
        <v>738</v>
      </c>
      <c r="BW70" s="509" t="s">
        <v>172</v>
      </c>
      <c r="BX70" s="513">
        <v>0.062372685185185184</v>
      </c>
      <c r="BY70" s="546">
        <v>10</v>
      </c>
      <c r="BZ70" s="509" t="s">
        <v>738</v>
      </c>
      <c r="CA70" s="509" t="s">
        <v>172</v>
      </c>
      <c r="CB70" s="513">
        <v>0.07256944444444445</v>
      </c>
      <c r="CC70" s="481">
        <v>257.69094138543505</v>
      </c>
      <c r="CD70" s="509" t="s">
        <v>648</v>
      </c>
      <c r="CE70" s="509" t="s">
        <v>158</v>
      </c>
      <c r="CF70" s="513">
        <v>0.04670138888888889</v>
      </c>
      <c r="CG70" s="481">
        <v>571.1973807296539</v>
      </c>
      <c r="CH70" s="499"/>
      <c r="CI70" s="499"/>
      <c r="CJ70" s="516"/>
      <c r="CK70" s="481"/>
      <c r="CL70" s="499"/>
      <c r="CM70" s="499"/>
      <c r="CN70" s="516"/>
      <c r="CO70" s="481"/>
      <c r="CP70" s="499"/>
      <c r="CQ70" s="499"/>
      <c r="CR70" s="526"/>
      <c r="CS70" s="481"/>
      <c r="CT70" s="499"/>
      <c r="CU70" s="499"/>
      <c r="CV70" s="526"/>
      <c r="CW70" s="481"/>
      <c r="CX70" s="499"/>
      <c r="CY70" s="499"/>
      <c r="CZ70" s="526"/>
      <c r="DA70" s="481"/>
      <c r="DB70" s="499"/>
      <c r="DC70" s="499"/>
      <c r="DD70" s="516"/>
      <c r="DE70" s="481"/>
    </row>
    <row r="71" spans="1:109" ht="12.75">
      <c r="A71" s="504">
        <v>57</v>
      </c>
      <c r="B71" s="505" t="s">
        <v>123</v>
      </c>
      <c r="C71" s="371" t="s">
        <v>95</v>
      </c>
      <c r="D71" s="371" t="s">
        <v>98</v>
      </c>
      <c r="F71" s="548">
        <v>1973</v>
      </c>
      <c r="G71" s="506">
        <f aca="true" t="shared" si="2" ref="G71:G96">H71</f>
        <v>4473.017197315534</v>
      </c>
      <c r="H71" s="507">
        <f t="shared" si="0"/>
        <v>4473.017197315534</v>
      </c>
      <c r="I71" s="508">
        <v>8</v>
      </c>
      <c r="J71" s="524"/>
      <c r="K71" s="499"/>
      <c r="M71" s="491"/>
      <c r="N71" s="524"/>
      <c r="O71" s="499"/>
      <c r="Q71" s="491"/>
      <c r="R71" s="524"/>
      <c r="S71" s="499"/>
      <c r="T71" s="516"/>
      <c r="U71" s="481"/>
      <c r="V71" s="524"/>
      <c r="W71" s="499"/>
      <c r="X71" s="516"/>
      <c r="Y71" s="481"/>
      <c r="Z71" s="524"/>
      <c r="AA71" s="499"/>
      <c r="AB71" s="516"/>
      <c r="AC71" s="481"/>
      <c r="AD71" s="524"/>
      <c r="AE71" s="524"/>
      <c r="AF71" s="516"/>
      <c r="AG71" s="491"/>
      <c r="AH71" s="524"/>
      <c r="AI71" s="524"/>
      <c r="AJ71" s="516"/>
      <c r="AK71" s="481"/>
      <c r="AL71" s="524"/>
      <c r="AM71" s="537"/>
      <c r="AN71" s="526"/>
      <c r="AO71" s="481"/>
      <c r="AP71" s="524"/>
      <c r="AQ71" s="499"/>
      <c r="AR71" s="498"/>
      <c r="AS71" s="481"/>
      <c r="AT71" s="509" t="s">
        <v>633</v>
      </c>
      <c r="AU71" s="509" t="s">
        <v>2</v>
      </c>
      <c r="AV71" s="509" t="s">
        <v>685</v>
      </c>
      <c r="AW71" s="481">
        <v>0</v>
      </c>
      <c r="AX71" s="509" t="s">
        <v>633</v>
      </c>
      <c r="AY71" s="509" t="s">
        <v>2</v>
      </c>
      <c r="AZ71" s="513">
        <v>0.03710648148148148</v>
      </c>
      <c r="BA71" s="481">
        <v>570.8401976935751</v>
      </c>
      <c r="BB71" s="509" t="s">
        <v>633</v>
      </c>
      <c r="BC71" s="509" t="s">
        <v>2</v>
      </c>
      <c r="BD71" s="513">
        <v>0.04395833333333333</v>
      </c>
      <c r="BE71" s="481">
        <v>724.5283018867926</v>
      </c>
      <c r="BF71" s="509" t="s">
        <v>742</v>
      </c>
      <c r="BG71" s="509" t="s">
        <v>2</v>
      </c>
      <c r="BH71" s="513">
        <v>0.028993055555555553</v>
      </c>
      <c r="BI71" s="481">
        <v>800</v>
      </c>
      <c r="BJ71" s="509" t="s">
        <v>742</v>
      </c>
      <c r="BK71" s="509" t="s">
        <v>2</v>
      </c>
      <c r="BL71" s="513">
        <v>0.012106481481481482</v>
      </c>
      <c r="BM71" s="481">
        <v>777.9960707269154</v>
      </c>
      <c r="BN71" s="509" t="s">
        <v>742</v>
      </c>
      <c r="BO71" s="509" t="s">
        <v>2</v>
      </c>
      <c r="BP71" s="513">
        <v>0.05333333333333334</v>
      </c>
      <c r="BQ71" s="481">
        <v>799.65262700825</v>
      </c>
      <c r="BR71" s="509" t="s">
        <v>742</v>
      </c>
      <c r="BS71" s="509" t="s">
        <v>2</v>
      </c>
      <c r="BT71" s="513">
        <v>0.035208333333333335</v>
      </c>
      <c r="BU71" s="481">
        <v>800</v>
      </c>
      <c r="BV71" s="499"/>
      <c r="BW71" s="499"/>
      <c r="BX71" s="516"/>
      <c r="BY71" s="481"/>
      <c r="BZ71" s="499"/>
      <c r="CA71" s="499"/>
      <c r="CB71" s="516"/>
      <c r="CC71" s="481"/>
      <c r="CD71" s="499"/>
      <c r="CE71" s="499"/>
      <c r="CF71" s="526"/>
      <c r="CG71" s="481"/>
      <c r="CH71" s="499"/>
      <c r="CI71" s="499"/>
      <c r="CJ71" s="526"/>
      <c r="CK71" s="481"/>
      <c r="CL71" s="499"/>
      <c r="CM71" s="499"/>
      <c r="CN71" s="526"/>
      <c r="CO71" s="481"/>
      <c r="CP71" s="499"/>
      <c r="CQ71" s="499"/>
      <c r="CR71" s="526"/>
      <c r="CS71" s="481"/>
      <c r="CT71" s="499"/>
      <c r="CU71" s="499"/>
      <c r="CV71" s="526"/>
      <c r="CW71" s="481"/>
      <c r="CX71" s="499" t="s">
        <v>396</v>
      </c>
      <c r="CY71" s="499" t="s">
        <v>2</v>
      </c>
      <c r="CZ71" s="516" t="s">
        <v>358</v>
      </c>
      <c r="DA71" s="481">
        <v>0</v>
      </c>
      <c r="DB71" s="499"/>
      <c r="DC71" s="499"/>
      <c r="DD71" s="516"/>
      <c r="DE71" s="481"/>
    </row>
    <row r="72" spans="1:109" ht="12.75">
      <c r="A72" s="504">
        <v>58</v>
      </c>
      <c r="B72" s="505" t="s">
        <v>139</v>
      </c>
      <c r="C72" s="371" t="s">
        <v>10</v>
      </c>
      <c r="D72" s="371" t="s">
        <v>49</v>
      </c>
      <c r="E72" s="495" t="s">
        <v>359</v>
      </c>
      <c r="F72" s="548">
        <v>1997</v>
      </c>
      <c r="G72" s="506">
        <f t="shared" si="2"/>
        <v>4416.388983587738</v>
      </c>
      <c r="H72" s="507">
        <f t="shared" si="0"/>
        <v>4416.388983587738</v>
      </c>
      <c r="I72" s="508">
        <v>8</v>
      </c>
      <c r="J72" s="524"/>
      <c r="K72" s="499"/>
      <c r="M72" s="491"/>
      <c r="N72" s="524"/>
      <c r="O72" s="499"/>
      <c r="Q72" s="491"/>
      <c r="R72" s="524"/>
      <c r="S72" s="499"/>
      <c r="U72" s="481"/>
      <c r="V72" s="524"/>
      <c r="W72" s="499"/>
      <c r="X72" s="516"/>
      <c r="Y72" s="481"/>
      <c r="Z72" s="509" t="s">
        <v>568</v>
      </c>
      <c r="AA72" s="509" t="s">
        <v>2</v>
      </c>
      <c r="AB72" s="520" t="s">
        <v>358</v>
      </c>
      <c r="AC72" s="481">
        <v>0</v>
      </c>
      <c r="AD72" s="509" t="s">
        <v>568</v>
      </c>
      <c r="AE72" s="509" t="s">
        <v>2</v>
      </c>
      <c r="AF72" s="513">
        <v>0.07299768518518518</v>
      </c>
      <c r="AG72" s="481">
        <v>593.929856115108</v>
      </c>
      <c r="AH72" s="509" t="s">
        <v>568</v>
      </c>
      <c r="AI72" s="509" t="s">
        <v>2</v>
      </c>
      <c r="AJ72" s="513">
        <v>0.04940972222222222</v>
      </c>
      <c r="AK72" s="481">
        <v>588.7417582417585</v>
      </c>
      <c r="AL72" s="524" t="s">
        <v>643</v>
      </c>
      <c r="AM72" s="524" t="s">
        <v>2</v>
      </c>
      <c r="AN72" s="516">
        <v>0.09981481481481481</v>
      </c>
      <c r="AO72" s="481">
        <v>841.5000000000001</v>
      </c>
      <c r="AP72" s="524" t="s">
        <v>643</v>
      </c>
      <c r="AQ72" s="509" t="s">
        <v>1</v>
      </c>
      <c r="AR72" s="535">
        <v>0.03229166666666667</v>
      </c>
      <c r="AS72" s="481">
        <v>419.83758700696075</v>
      </c>
      <c r="AT72" s="524"/>
      <c r="AU72" s="524"/>
      <c r="AV72" s="526"/>
      <c r="AW72" s="481"/>
      <c r="AX72" s="524"/>
      <c r="AY72" s="524"/>
      <c r="AZ72" s="526"/>
      <c r="BA72" s="481"/>
      <c r="BB72" s="524"/>
      <c r="BC72" s="524"/>
      <c r="BD72" s="516"/>
      <c r="BE72" s="481"/>
      <c r="BF72" s="509"/>
      <c r="BG72" s="509"/>
      <c r="BH72" s="509"/>
      <c r="BI72" s="481"/>
      <c r="BJ72" s="509" t="s">
        <v>742</v>
      </c>
      <c r="BK72" s="509" t="s">
        <v>2</v>
      </c>
      <c r="BL72" s="513">
        <v>0.01613425925925926</v>
      </c>
      <c r="BM72" s="481">
        <v>504.518664047151</v>
      </c>
      <c r="BN72" s="509" t="s">
        <v>742</v>
      </c>
      <c r="BO72" s="509" t="s">
        <v>2</v>
      </c>
      <c r="BP72" s="513">
        <v>0.0642361111111111</v>
      </c>
      <c r="BQ72" s="481">
        <v>636.0399478940514</v>
      </c>
      <c r="BR72" s="509" t="s">
        <v>742</v>
      </c>
      <c r="BS72" s="509" t="s">
        <v>2</v>
      </c>
      <c r="BT72" s="513">
        <v>0.03380787037037037</v>
      </c>
      <c r="BU72" s="481">
        <v>831.8211702827089</v>
      </c>
      <c r="BV72" s="499"/>
      <c r="BW72" s="499"/>
      <c r="BX72" s="526"/>
      <c r="BY72" s="481"/>
      <c r="BZ72" s="499"/>
      <c r="CA72" s="499"/>
      <c r="CB72" s="526"/>
      <c r="CC72" s="481"/>
      <c r="CD72" s="499"/>
      <c r="CE72" s="499"/>
      <c r="CF72" s="526"/>
      <c r="CG72" s="481"/>
      <c r="CH72" s="499"/>
      <c r="CI72" s="499"/>
      <c r="CJ72" s="516"/>
      <c r="CK72" s="481"/>
      <c r="CL72" s="499"/>
      <c r="CM72" s="499"/>
      <c r="CN72" s="516"/>
      <c r="CO72" s="481"/>
      <c r="CP72" s="499"/>
      <c r="CQ72" s="499"/>
      <c r="CR72" s="526"/>
      <c r="CS72" s="481"/>
      <c r="CT72" s="499"/>
      <c r="CU72" s="499"/>
      <c r="CV72" s="526"/>
      <c r="CW72" s="481"/>
      <c r="CX72" s="499"/>
      <c r="CY72" s="499"/>
      <c r="CZ72" s="516"/>
      <c r="DA72" s="481"/>
      <c r="DB72" s="509"/>
      <c r="DC72" s="509"/>
      <c r="DD72" s="520"/>
      <c r="DE72" s="515"/>
    </row>
    <row r="73" spans="1:111" ht="12.75">
      <c r="A73" s="504">
        <v>59</v>
      </c>
      <c r="B73" s="505" t="s">
        <v>152</v>
      </c>
      <c r="C73" s="371" t="s">
        <v>10</v>
      </c>
      <c r="D73" s="371" t="s">
        <v>17</v>
      </c>
      <c r="E73" s="495" t="s">
        <v>360</v>
      </c>
      <c r="F73" s="548">
        <v>1969</v>
      </c>
      <c r="G73" s="506">
        <f t="shared" si="2"/>
        <v>4256.763746618765</v>
      </c>
      <c r="H73" s="507">
        <f t="shared" si="0"/>
        <v>4256.763746618765</v>
      </c>
      <c r="I73" s="508">
        <v>8</v>
      </c>
      <c r="J73" s="524"/>
      <c r="K73" s="499"/>
      <c r="L73" s="526"/>
      <c r="M73" s="481"/>
      <c r="N73" s="524"/>
      <c r="O73" s="499"/>
      <c r="Q73" s="491"/>
      <c r="R73" s="524"/>
      <c r="S73" s="499"/>
      <c r="U73" s="481"/>
      <c r="V73" s="524"/>
      <c r="W73" s="499"/>
      <c r="Y73" s="481"/>
      <c r="Z73" s="509" t="s">
        <v>396</v>
      </c>
      <c r="AA73" s="509" t="s">
        <v>158</v>
      </c>
      <c r="AB73" s="513">
        <v>0.013993055555555555</v>
      </c>
      <c r="AC73" s="481">
        <v>616.586387434555</v>
      </c>
      <c r="AD73" s="509" t="s">
        <v>396</v>
      </c>
      <c r="AE73" s="509" t="s">
        <v>158</v>
      </c>
      <c r="AF73" s="501" t="s">
        <v>358</v>
      </c>
      <c r="AG73" s="531">
        <v>0</v>
      </c>
      <c r="AH73" s="509" t="s">
        <v>396</v>
      </c>
      <c r="AI73" s="509" t="s">
        <v>158</v>
      </c>
      <c r="AJ73" s="513">
        <v>0.04398148148148148</v>
      </c>
      <c r="AK73" s="481">
        <v>695.1187904967602</v>
      </c>
      <c r="AL73" s="524"/>
      <c r="AM73" s="537"/>
      <c r="AN73" s="526"/>
      <c r="AO73" s="481"/>
      <c r="AP73" s="524"/>
      <c r="AQ73" s="524"/>
      <c r="AR73" s="535"/>
      <c r="AS73" s="481"/>
      <c r="AT73" s="499"/>
      <c r="AU73" s="499"/>
      <c r="AV73" s="526"/>
      <c r="AW73" s="481"/>
      <c r="AX73" s="499"/>
      <c r="AY73" s="499"/>
      <c r="AZ73" s="526"/>
      <c r="BA73" s="481"/>
      <c r="BB73" s="499"/>
      <c r="BC73" s="499"/>
      <c r="BD73" s="516"/>
      <c r="BE73" s="481"/>
      <c r="BF73" s="509" t="s">
        <v>741</v>
      </c>
      <c r="BG73" s="509" t="s">
        <v>158</v>
      </c>
      <c r="BH73" s="513">
        <v>0.02783564814814815</v>
      </c>
      <c r="BI73" s="481">
        <v>611.4754098360655</v>
      </c>
      <c r="BJ73" s="509" t="s">
        <v>741</v>
      </c>
      <c r="BK73" s="509" t="s">
        <v>158</v>
      </c>
      <c r="BL73" s="513">
        <v>0.015532407407407406</v>
      </c>
      <c r="BM73" s="481">
        <v>417.3640167364017</v>
      </c>
      <c r="BN73" s="509" t="s">
        <v>741</v>
      </c>
      <c r="BO73" s="509" t="s">
        <v>158</v>
      </c>
      <c r="BP73" s="513">
        <v>0.04061342592592593</v>
      </c>
      <c r="BQ73" s="481">
        <v>603.7925445705024</v>
      </c>
      <c r="BR73" s="509" t="s">
        <v>741</v>
      </c>
      <c r="BS73" s="509" t="s">
        <v>158</v>
      </c>
      <c r="BT73" s="513">
        <v>0.027256944444444445</v>
      </c>
      <c r="BU73" s="481">
        <v>612.3745819397992</v>
      </c>
      <c r="BV73" s="499"/>
      <c r="BW73" s="499"/>
      <c r="BX73" s="526"/>
      <c r="BY73" s="481"/>
      <c r="BZ73" s="499"/>
      <c r="CA73" s="499"/>
      <c r="CB73" s="526"/>
      <c r="CC73" s="481"/>
      <c r="CD73" s="509" t="s">
        <v>372</v>
      </c>
      <c r="CE73" s="509" t="s">
        <v>2</v>
      </c>
      <c r="CF73" s="513">
        <v>0.04288194444444444</v>
      </c>
      <c r="CG73" s="481">
        <v>700.0520156046816</v>
      </c>
      <c r="CH73" s="499"/>
      <c r="CI73" s="499"/>
      <c r="CJ73" s="526"/>
      <c r="CK73" s="481"/>
      <c r="CL73" s="499"/>
      <c r="CM73" s="499"/>
      <c r="CN73" s="526"/>
      <c r="CO73" s="481"/>
      <c r="CP73" s="499"/>
      <c r="CQ73" s="499"/>
      <c r="CR73" s="520"/>
      <c r="CS73" s="515"/>
      <c r="CT73" s="509"/>
      <c r="CU73" s="509"/>
      <c r="CV73" s="520"/>
      <c r="CW73" s="515"/>
      <c r="CX73" s="499"/>
      <c r="CY73" s="499"/>
      <c r="CZ73" s="516"/>
      <c r="DA73" s="481"/>
      <c r="DB73" s="509"/>
      <c r="DC73" s="509"/>
      <c r="DD73" s="520"/>
      <c r="DE73" s="515"/>
      <c r="DF73" s="494"/>
      <c r="DG73" s="494"/>
    </row>
    <row r="74" spans="1:109" ht="12.75">
      <c r="A74" s="504">
        <v>60</v>
      </c>
      <c r="B74" s="505" t="s">
        <v>257</v>
      </c>
      <c r="C74" s="371" t="s">
        <v>10</v>
      </c>
      <c r="D74" s="371" t="s">
        <v>101</v>
      </c>
      <c r="F74" s="190">
        <v>1978</v>
      </c>
      <c r="G74" s="506">
        <f t="shared" si="2"/>
        <v>4242.272571314271</v>
      </c>
      <c r="H74" s="507">
        <f t="shared" si="0"/>
        <v>4242.272571314271</v>
      </c>
      <c r="I74" s="508">
        <v>8</v>
      </c>
      <c r="J74" s="524"/>
      <c r="K74" s="499"/>
      <c r="M74" s="491"/>
      <c r="N74" s="524"/>
      <c r="O74" s="499"/>
      <c r="Q74" s="491"/>
      <c r="R74" s="524"/>
      <c r="S74" s="499"/>
      <c r="U74" s="491"/>
      <c r="V74" s="524"/>
      <c r="W74" s="499"/>
      <c r="Y74" s="491"/>
      <c r="Z74" s="524"/>
      <c r="AA74" s="499"/>
      <c r="AC74" s="481"/>
      <c r="AD74" s="524"/>
      <c r="AE74" s="524"/>
      <c r="AG74" s="481"/>
      <c r="AH74" s="524"/>
      <c r="AI74" s="524"/>
      <c r="AK74" s="481"/>
      <c r="AL74" s="524"/>
      <c r="AM74" s="537"/>
      <c r="AO74" s="481"/>
      <c r="AP74" s="541"/>
      <c r="AQ74" s="468"/>
      <c r="AR74" s="513"/>
      <c r="AS74" s="515"/>
      <c r="AT74" s="509" t="s">
        <v>737</v>
      </c>
      <c r="AU74" s="509" t="s">
        <v>2</v>
      </c>
      <c r="AV74" s="513">
        <v>0.04040509259259259</v>
      </c>
      <c r="AW74" s="481">
        <v>10</v>
      </c>
      <c r="AX74" s="509" t="s">
        <v>737</v>
      </c>
      <c r="AY74" s="509" t="s">
        <v>2</v>
      </c>
      <c r="AZ74" s="513">
        <v>0.04694444444444445</v>
      </c>
      <c r="BA74" s="481">
        <v>276.7710049423393</v>
      </c>
      <c r="BB74" s="509" t="s">
        <v>737</v>
      </c>
      <c r="BC74" s="509" t="s">
        <v>2</v>
      </c>
      <c r="BD74" s="513">
        <v>0.042754629629629635</v>
      </c>
      <c r="BE74" s="481">
        <v>750.691823899371</v>
      </c>
      <c r="BF74" s="509" t="s">
        <v>742</v>
      </c>
      <c r="BG74" s="509" t="s">
        <v>2</v>
      </c>
      <c r="BH74" s="513">
        <v>0.029212962962962965</v>
      </c>
      <c r="BI74" s="481">
        <v>793.9321357285428</v>
      </c>
      <c r="BJ74" s="509" t="s">
        <v>742</v>
      </c>
      <c r="BK74" s="509" t="s">
        <v>2</v>
      </c>
      <c r="BL74" s="513">
        <v>0.011782407407407406</v>
      </c>
      <c r="BM74" s="481">
        <v>800</v>
      </c>
      <c r="BN74" s="509" t="s">
        <v>742</v>
      </c>
      <c r="BO74" s="509" t="s">
        <v>2</v>
      </c>
      <c r="BP74" s="513">
        <v>0.05331018518518518</v>
      </c>
      <c r="BQ74" s="481">
        <v>800</v>
      </c>
      <c r="BR74" s="509" t="s">
        <v>742</v>
      </c>
      <c r="BS74" s="509" t="s">
        <v>2</v>
      </c>
      <c r="BT74" s="513">
        <v>0.035277777777777776</v>
      </c>
      <c r="BU74" s="481">
        <v>798.422090729783</v>
      </c>
      <c r="BV74" s="499"/>
      <c r="BW74" s="499"/>
      <c r="BX74" s="516"/>
      <c r="BY74" s="481"/>
      <c r="BZ74" s="499"/>
      <c r="CA74" s="499"/>
      <c r="CB74" s="516"/>
      <c r="CC74" s="481"/>
      <c r="CD74" s="509" t="s">
        <v>292</v>
      </c>
      <c r="CE74" s="509" t="s">
        <v>1</v>
      </c>
      <c r="CF74" s="513">
        <v>0.07114583333333334</v>
      </c>
      <c r="CG74" s="481">
        <v>12.45551601423467</v>
      </c>
      <c r="CH74" s="499"/>
      <c r="CI74" s="499"/>
      <c r="CJ74" s="516"/>
      <c r="CK74" s="481"/>
      <c r="CL74" s="499"/>
      <c r="CM74" s="499"/>
      <c r="CN74" s="516"/>
      <c r="CO74" s="481"/>
      <c r="CP74" s="499"/>
      <c r="CQ74" s="499"/>
      <c r="CR74" s="516"/>
      <c r="CS74" s="481"/>
      <c r="CT74" s="499"/>
      <c r="CU74" s="499"/>
      <c r="CV74" s="516"/>
      <c r="CW74" s="481"/>
      <c r="CX74" s="499"/>
      <c r="CY74" s="499"/>
      <c r="CZ74" s="516"/>
      <c r="DA74" s="481"/>
      <c r="DB74" s="499"/>
      <c r="DC74" s="499"/>
      <c r="DD74" s="516"/>
      <c r="DE74" s="481"/>
    </row>
    <row r="75" spans="1:109" ht="12.75">
      <c r="A75" s="504">
        <v>61</v>
      </c>
      <c r="B75" s="505" t="s">
        <v>381</v>
      </c>
      <c r="C75" s="371" t="s">
        <v>10</v>
      </c>
      <c r="D75" s="371" t="s">
        <v>384</v>
      </c>
      <c r="E75" s="495" t="s">
        <v>360</v>
      </c>
      <c r="F75" s="548">
        <v>1969</v>
      </c>
      <c r="G75" s="506">
        <f t="shared" si="2"/>
        <v>4087.546645260844</v>
      </c>
      <c r="H75" s="507">
        <f t="shared" si="0"/>
        <v>4087.546645260844</v>
      </c>
      <c r="I75" s="508">
        <v>7</v>
      </c>
      <c r="J75" s="524"/>
      <c r="K75" s="499"/>
      <c r="L75" s="526"/>
      <c r="M75" s="481"/>
      <c r="N75" s="524"/>
      <c r="O75" s="499"/>
      <c r="P75" s="516"/>
      <c r="Q75" s="481"/>
      <c r="R75" s="524"/>
      <c r="S75" s="499"/>
      <c r="T75" s="516"/>
      <c r="U75" s="481"/>
      <c r="V75" s="524"/>
      <c r="W75" s="499"/>
      <c r="X75" s="516"/>
      <c r="Y75" s="481"/>
      <c r="Z75" s="509"/>
      <c r="AA75" s="509"/>
      <c r="AB75" s="513"/>
      <c r="AC75" s="481"/>
      <c r="AD75" s="509"/>
      <c r="AE75" s="509"/>
      <c r="AF75" s="513"/>
      <c r="AG75" s="481"/>
      <c r="AH75" s="509"/>
      <c r="AI75" s="509"/>
      <c r="AJ75" s="513"/>
      <c r="AK75" s="481"/>
      <c r="AL75" s="509" t="s">
        <v>372</v>
      </c>
      <c r="AM75" s="509" t="s">
        <v>158</v>
      </c>
      <c r="AN75" s="513">
        <v>0.0779050925925926</v>
      </c>
      <c r="AO75" s="481">
        <v>718.8187730708386</v>
      </c>
      <c r="AP75" s="509"/>
      <c r="AQ75" s="509"/>
      <c r="AR75" s="509"/>
      <c r="AS75" s="481"/>
      <c r="AT75" s="524"/>
      <c r="AU75" s="524"/>
      <c r="AV75" s="516"/>
      <c r="AW75" s="481"/>
      <c r="AX75" s="524"/>
      <c r="AY75" s="524"/>
      <c r="AZ75" s="516"/>
      <c r="BA75" s="481"/>
      <c r="BB75" s="524"/>
      <c r="BC75" s="524"/>
      <c r="BD75" s="516"/>
      <c r="BE75" s="481"/>
      <c r="BF75" s="509" t="s">
        <v>741</v>
      </c>
      <c r="BG75" s="509" t="s">
        <v>158</v>
      </c>
      <c r="BH75" s="513">
        <v>0.03037037037037037</v>
      </c>
      <c r="BI75" s="481">
        <v>539.672131147541</v>
      </c>
      <c r="BJ75" s="509" t="s">
        <v>741</v>
      </c>
      <c r="BK75" s="509" t="s">
        <v>158</v>
      </c>
      <c r="BL75" s="513">
        <v>0.01513888888888889</v>
      </c>
      <c r="BM75" s="481">
        <v>442.2594142259414</v>
      </c>
      <c r="BN75" s="509" t="s">
        <v>741</v>
      </c>
      <c r="BO75" s="509" t="s">
        <v>158</v>
      </c>
      <c r="BP75" s="513">
        <v>0.04325231481481481</v>
      </c>
      <c r="BQ75" s="481">
        <v>552.0583468395463</v>
      </c>
      <c r="BR75" s="509" t="s">
        <v>741</v>
      </c>
      <c r="BS75" s="509" t="s">
        <v>158</v>
      </c>
      <c r="BT75" s="513">
        <v>0.02883101851851852</v>
      </c>
      <c r="BU75" s="481">
        <v>566.8896321070232</v>
      </c>
      <c r="BV75" s="499"/>
      <c r="BW75" s="499"/>
      <c r="BX75" s="516"/>
      <c r="BY75" s="481"/>
      <c r="BZ75" s="499"/>
      <c r="CA75" s="499"/>
      <c r="CB75" s="516"/>
      <c r="CC75" s="481"/>
      <c r="CD75" s="499"/>
      <c r="CE75" s="499"/>
      <c r="CF75" s="516"/>
      <c r="CG75" s="481"/>
      <c r="CH75" s="499"/>
      <c r="CI75" s="499"/>
      <c r="CJ75" s="516"/>
      <c r="CK75" s="481"/>
      <c r="CL75" s="499"/>
      <c r="CM75" s="499"/>
      <c r="CN75" s="516"/>
      <c r="CO75" s="481"/>
      <c r="CP75" s="499"/>
      <c r="CQ75" s="499"/>
      <c r="CR75" s="526"/>
      <c r="CS75" s="481"/>
      <c r="CT75" s="499"/>
      <c r="CU75" s="499"/>
      <c r="CV75" s="526"/>
      <c r="CW75" s="481"/>
      <c r="CX75" s="499" t="s">
        <v>396</v>
      </c>
      <c r="CY75" s="499" t="s">
        <v>2</v>
      </c>
      <c r="CZ75" s="516">
        <v>0.05628472222222222</v>
      </c>
      <c r="DA75" s="481">
        <v>635.1190476190476</v>
      </c>
      <c r="DB75" s="499" t="s">
        <v>396</v>
      </c>
      <c r="DC75" s="499" t="s">
        <v>2</v>
      </c>
      <c r="DD75" s="526">
        <v>0.05019675925925926</v>
      </c>
      <c r="DE75" s="481">
        <v>632.7293002509059</v>
      </c>
    </row>
    <row r="76" spans="1:109" ht="12.75">
      <c r="A76" s="504">
        <v>62</v>
      </c>
      <c r="B76" s="505" t="s">
        <v>135</v>
      </c>
      <c r="C76" s="371" t="s">
        <v>10</v>
      </c>
      <c r="D76" s="371" t="s">
        <v>19</v>
      </c>
      <c r="F76" s="548">
        <v>1978</v>
      </c>
      <c r="G76" s="506">
        <f t="shared" si="2"/>
        <v>3956.5066433708516</v>
      </c>
      <c r="H76" s="507">
        <f t="shared" si="0"/>
        <v>3956.5066433708516</v>
      </c>
      <c r="I76" s="508">
        <v>8</v>
      </c>
      <c r="J76" s="509" t="s">
        <v>550</v>
      </c>
      <c r="K76" s="509" t="s">
        <v>2</v>
      </c>
      <c r="L76" s="513">
        <v>0.03435185185185185</v>
      </c>
      <c r="M76" s="481">
        <v>766.8771929824562</v>
      </c>
      <c r="N76" s="509" t="s">
        <v>551</v>
      </c>
      <c r="O76" s="509" t="s">
        <v>1</v>
      </c>
      <c r="P76" s="513">
        <v>0.07020833333333333</v>
      </c>
      <c r="Q76" s="481">
        <v>285.95648488273537</v>
      </c>
      <c r="R76" s="524"/>
      <c r="S76" s="499"/>
      <c r="T76" s="516"/>
      <c r="U76" s="481"/>
      <c r="V76" s="524"/>
      <c r="W76" s="499"/>
      <c r="Y76" s="481"/>
      <c r="Z76" s="513"/>
      <c r="AA76" s="509"/>
      <c r="AB76" s="513"/>
      <c r="AC76" s="481"/>
      <c r="AD76" s="513"/>
      <c r="AE76" s="509"/>
      <c r="AF76" s="513"/>
      <c r="AG76" s="491"/>
      <c r="AH76" s="513" t="s">
        <v>569</v>
      </c>
      <c r="AI76" s="509" t="s">
        <v>158</v>
      </c>
      <c r="AJ76" s="538">
        <v>0.05196759259259259</v>
      </c>
      <c r="AK76" s="481">
        <v>516.2850971922246</v>
      </c>
      <c r="AL76" s="524"/>
      <c r="AM76" s="537"/>
      <c r="AN76" s="526"/>
      <c r="AO76" s="481"/>
      <c r="AP76" s="524"/>
      <c r="AQ76" s="498"/>
      <c r="AR76" s="535"/>
      <c r="AS76" s="481"/>
      <c r="AT76" s="499"/>
      <c r="AU76" s="499"/>
      <c r="AV76" s="526"/>
      <c r="AW76" s="481"/>
      <c r="AX76" s="499"/>
      <c r="AY76" s="499"/>
      <c r="AZ76" s="526"/>
      <c r="BA76" s="481"/>
      <c r="BB76" s="499"/>
      <c r="BC76" s="499"/>
      <c r="BD76" s="516"/>
      <c r="BE76" s="481"/>
      <c r="BF76" s="509"/>
      <c r="BG76" s="509"/>
      <c r="BH76" s="509"/>
      <c r="BI76" s="481"/>
      <c r="BJ76" s="509" t="s">
        <v>742</v>
      </c>
      <c r="BK76" s="509" t="s">
        <v>2</v>
      </c>
      <c r="BL76" s="513">
        <v>0.017361111111111112</v>
      </c>
      <c r="BM76" s="481">
        <v>421.21807465618843</v>
      </c>
      <c r="BN76" s="509" t="s">
        <v>742</v>
      </c>
      <c r="BO76" s="509" t="s">
        <v>2</v>
      </c>
      <c r="BP76" s="513">
        <v>0.05337962962962963</v>
      </c>
      <c r="BQ76" s="481">
        <v>798.9578810247502</v>
      </c>
      <c r="BR76" s="509" t="s">
        <v>742</v>
      </c>
      <c r="BS76" s="509" t="s">
        <v>2</v>
      </c>
      <c r="BT76" s="513">
        <v>0.035381944444444445</v>
      </c>
      <c r="BU76" s="481">
        <v>796.0552268244577</v>
      </c>
      <c r="BV76" s="499"/>
      <c r="BW76" s="499"/>
      <c r="BX76" s="526"/>
      <c r="BY76" s="481"/>
      <c r="BZ76" s="499"/>
      <c r="CA76" s="499"/>
      <c r="CB76" s="526"/>
      <c r="CC76" s="481"/>
      <c r="CD76" s="509" t="s">
        <v>292</v>
      </c>
      <c r="CE76" s="509" t="s">
        <v>1</v>
      </c>
      <c r="CF76" s="513">
        <v>0.08123842592592594</v>
      </c>
      <c r="CG76" s="481">
        <v>10</v>
      </c>
      <c r="CH76" s="499"/>
      <c r="CI76" s="499"/>
      <c r="CJ76" s="526"/>
      <c r="CK76" s="481"/>
      <c r="CL76" s="499" t="s">
        <v>377</v>
      </c>
      <c r="CM76" s="499" t="s">
        <v>1</v>
      </c>
      <c r="CN76" s="513">
        <v>0.09248842592592593</v>
      </c>
      <c r="CO76" s="481">
        <v>361.1566858080391</v>
      </c>
      <c r="CP76" s="499"/>
      <c r="CQ76" s="499"/>
      <c r="CR76" s="526"/>
      <c r="CS76" s="481"/>
      <c r="CT76" s="499"/>
      <c r="CU76" s="499"/>
      <c r="CV76" s="526"/>
      <c r="CW76" s="481"/>
      <c r="CX76" s="499"/>
      <c r="CY76" s="499"/>
      <c r="CZ76" s="516"/>
      <c r="DA76" s="481"/>
      <c r="DB76" s="499"/>
      <c r="DC76" s="499"/>
      <c r="DD76" s="526"/>
      <c r="DE76" s="481"/>
    </row>
    <row r="77" spans="1:109" ht="12.75">
      <c r="A77" s="504">
        <v>63</v>
      </c>
      <c r="B77" s="505" t="s">
        <v>120</v>
      </c>
      <c r="C77" s="371" t="s">
        <v>10</v>
      </c>
      <c r="D77" s="371" t="s">
        <v>49</v>
      </c>
      <c r="F77" s="190">
        <v>1983</v>
      </c>
      <c r="G77" s="506">
        <f t="shared" si="2"/>
        <v>3888.8469015549545</v>
      </c>
      <c r="H77" s="507">
        <f t="shared" si="0"/>
        <v>3888.8469015549545</v>
      </c>
      <c r="I77" s="508">
        <v>7</v>
      </c>
      <c r="J77" s="509"/>
      <c r="K77" s="509"/>
      <c r="L77" s="509"/>
      <c r="M77" s="542"/>
      <c r="N77" s="509" t="s">
        <v>551</v>
      </c>
      <c r="O77" s="509" t="s">
        <v>1</v>
      </c>
      <c r="P77" s="513">
        <v>0.06024305555555556</v>
      </c>
      <c r="Q77" s="481">
        <v>529.2455495902797</v>
      </c>
      <c r="R77" s="524"/>
      <c r="S77" s="499"/>
      <c r="T77" s="516"/>
      <c r="U77" s="481"/>
      <c r="V77" s="524"/>
      <c r="W77" s="499"/>
      <c r="X77" s="516"/>
      <c r="Y77" s="481"/>
      <c r="Z77" s="509" t="s">
        <v>443</v>
      </c>
      <c r="AA77" s="509" t="s">
        <v>1</v>
      </c>
      <c r="AB77" s="520" t="s">
        <v>358</v>
      </c>
      <c r="AC77" s="481">
        <v>0</v>
      </c>
      <c r="AD77" s="509" t="s">
        <v>443</v>
      </c>
      <c r="AE77" s="509" t="s">
        <v>1</v>
      </c>
      <c r="AF77" s="501" t="s">
        <v>358</v>
      </c>
      <c r="AG77" s="491">
        <v>0</v>
      </c>
      <c r="AH77" s="509"/>
      <c r="AI77" s="509"/>
      <c r="AJ77" s="501"/>
      <c r="AK77" s="481"/>
      <c r="AL77" s="509" t="s">
        <v>625</v>
      </c>
      <c r="AM77" s="509" t="s">
        <v>1</v>
      </c>
      <c r="AN77" s="513">
        <v>0.09615740740740741</v>
      </c>
      <c r="AO77" s="481">
        <v>837.423587296854</v>
      </c>
      <c r="AP77" s="509" t="s">
        <v>625</v>
      </c>
      <c r="AQ77" s="509" t="s">
        <v>1</v>
      </c>
      <c r="AR77" s="513">
        <v>0.019953703703703706</v>
      </c>
      <c r="AS77" s="481">
        <v>1100</v>
      </c>
      <c r="AT77" s="524"/>
      <c r="AU77" s="524"/>
      <c r="AV77" s="516"/>
      <c r="AW77" s="481"/>
      <c r="AX77" s="524"/>
      <c r="AY77" s="524"/>
      <c r="AZ77" s="526"/>
      <c r="BA77" s="481"/>
      <c r="BB77" s="524"/>
      <c r="BC77" s="524"/>
      <c r="BD77" s="516"/>
      <c r="BE77" s="481"/>
      <c r="BF77" s="499"/>
      <c r="BG77" s="499"/>
      <c r="BH77" s="526"/>
      <c r="BI77" s="481"/>
      <c r="BJ77" s="499"/>
      <c r="BK77" s="499"/>
      <c r="BL77" s="516"/>
      <c r="BM77" s="491"/>
      <c r="BN77" s="499"/>
      <c r="BO77" s="499"/>
      <c r="BP77" s="526"/>
      <c r="BQ77" s="481"/>
      <c r="BR77" s="499"/>
      <c r="BS77" s="499"/>
      <c r="BT77" s="526"/>
      <c r="BU77" s="481"/>
      <c r="BV77" s="499"/>
      <c r="BW77" s="499"/>
      <c r="BX77" s="516"/>
      <c r="BY77" s="481"/>
      <c r="BZ77" s="499"/>
      <c r="CA77" s="499"/>
      <c r="CB77" s="526"/>
      <c r="CC77" s="481"/>
      <c r="CD77" s="509" t="s">
        <v>292</v>
      </c>
      <c r="CE77" s="509" t="s">
        <v>1</v>
      </c>
      <c r="CF77" s="513">
        <v>0.05258101851851852</v>
      </c>
      <c r="CG77" s="481">
        <v>583.2740213523132</v>
      </c>
      <c r="CH77" s="499"/>
      <c r="CI77" s="499"/>
      <c r="CJ77" s="526"/>
      <c r="CK77" s="481"/>
      <c r="CL77" s="499"/>
      <c r="CM77" s="499"/>
      <c r="CN77" s="526"/>
      <c r="CO77" s="481"/>
      <c r="CP77" s="499"/>
      <c r="CQ77" s="499"/>
      <c r="CR77" s="513"/>
      <c r="CS77" s="515"/>
      <c r="CT77" s="509"/>
      <c r="CU77" s="509"/>
      <c r="CV77" s="513"/>
      <c r="CW77" s="515"/>
      <c r="CX77" s="499" t="s">
        <v>443</v>
      </c>
      <c r="CY77" s="499" t="s">
        <v>1</v>
      </c>
      <c r="CZ77" s="526">
        <v>0.0603125</v>
      </c>
      <c r="DA77" s="481">
        <v>838.903743315508</v>
      </c>
      <c r="DB77" s="499"/>
      <c r="DC77" s="499"/>
      <c r="DD77" s="526"/>
      <c r="DE77" s="481"/>
    </row>
    <row r="78" spans="1:109" ht="12.75">
      <c r="A78" s="504">
        <v>64</v>
      </c>
      <c r="B78" s="505" t="s">
        <v>326</v>
      </c>
      <c r="C78" s="371" t="s">
        <v>10</v>
      </c>
      <c r="D78" s="371" t="s">
        <v>147</v>
      </c>
      <c r="E78" s="495" t="s">
        <v>360</v>
      </c>
      <c r="F78" s="190">
        <v>1971</v>
      </c>
      <c r="G78" s="506">
        <f t="shared" si="2"/>
        <v>3867.418679097146</v>
      </c>
      <c r="H78" s="507">
        <f t="shared" si="0"/>
        <v>3867.418679097146</v>
      </c>
      <c r="I78" s="508">
        <v>9</v>
      </c>
      <c r="J78" s="524"/>
      <c r="K78" s="499"/>
      <c r="M78" s="491"/>
      <c r="N78" s="524"/>
      <c r="O78" s="499"/>
      <c r="Q78" s="481"/>
      <c r="R78" s="524"/>
      <c r="S78" s="499"/>
      <c r="T78" s="516"/>
      <c r="U78" s="481"/>
      <c r="V78" s="524"/>
      <c r="W78" s="499"/>
      <c r="Y78" s="481"/>
      <c r="Z78" s="509" t="s">
        <v>396</v>
      </c>
      <c r="AA78" s="509" t="s">
        <v>158</v>
      </c>
      <c r="AB78" s="513">
        <v>0.013414351851851851</v>
      </c>
      <c r="AC78" s="481">
        <v>660.565445026178</v>
      </c>
      <c r="AD78" s="509" t="s">
        <v>396</v>
      </c>
      <c r="AE78" s="509" t="s">
        <v>158</v>
      </c>
      <c r="AF78" s="513">
        <v>0.07872685185185185</v>
      </c>
      <c r="AG78" s="481">
        <v>512.274678111588</v>
      </c>
      <c r="AH78" s="509" t="s">
        <v>396</v>
      </c>
      <c r="AI78" s="509" t="s">
        <v>158</v>
      </c>
      <c r="AJ78" s="513">
        <v>0.06607638888888889</v>
      </c>
      <c r="AK78" s="481">
        <v>200.3455723542115</v>
      </c>
      <c r="AL78" s="509" t="s">
        <v>372</v>
      </c>
      <c r="AM78" s="509" t="s">
        <v>158</v>
      </c>
      <c r="AN78" s="513">
        <v>0.10104166666666665</v>
      </c>
      <c r="AO78" s="481">
        <v>409.60449991211135</v>
      </c>
      <c r="AP78" s="509" t="s">
        <v>372</v>
      </c>
      <c r="AQ78" s="509" t="s">
        <v>2</v>
      </c>
      <c r="AR78" s="513">
        <v>0.028229166666666666</v>
      </c>
      <c r="AS78" s="481">
        <v>437.56007393715356</v>
      </c>
      <c r="AT78" s="524"/>
      <c r="AU78" s="524"/>
      <c r="AV78" s="516"/>
      <c r="AW78" s="481"/>
      <c r="AX78" s="524"/>
      <c r="AY78" s="524"/>
      <c r="AZ78" s="526"/>
      <c r="BA78" s="481"/>
      <c r="BB78" s="524"/>
      <c r="BC78" s="524"/>
      <c r="BD78" s="516"/>
      <c r="BE78" s="481"/>
      <c r="BF78" s="509" t="s">
        <v>741</v>
      </c>
      <c r="BG78" s="509" t="s">
        <v>158</v>
      </c>
      <c r="BH78" s="513">
        <v>0.0332175925925926</v>
      </c>
      <c r="BI78" s="481">
        <v>459.0163934426228</v>
      </c>
      <c r="BJ78" s="509" t="s">
        <v>741</v>
      </c>
      <c r="BK78" s="509" t="s">
        <v>158</v>
      </c>
      <c r="BL78" s="513">
        <v>0.015162037037037036</v>
      </c>
      <c r="BM78" s="481">
        <v>440.79497907949786</v>
      </c>
      <c r="BN78" s="509" t="s">
        <v>741</v>
      </c>
      <c r="BO78" s="509" t="s">
        <v>158</v>
      </c>
      <c r="BP78" s="513">
        <v>0.05310185185185185</v>
      </c>
      <c r="BQ78" s="481">
        <v>358.9627228525121</v>
      </c>
      <c r="BR78" s="509" t="s">
        <v>741</v>
      </c>
      <c r="BS78" s="509" t="s">
        <v>158</v>
      </c>
      <c r="BT78" s="513">
        <v>0.03501157407407408</v>
      </c>
      <c r="BU78" s="481">
        <v>388.29431438127074</v>
      </c>
      <c r="BV78" s="499"/>
      <c r="BW78" s="499"/>
      <c r="BX78" s="516"/>
      <c r="BY78" s="481"/>
      <c r="BZ78" s="499"/>
      <c r="CA78" s="499"/>
      <c r="CB78" s="516"/>
      <c r="CC78" s="481"/>
      <c r="CD78" s="499"/>
      <c r="CE78" s="499"/>
      <c r="CF78" s="516"/>
      <c r="CG78" s="481"/>
      <c r="CH78" s="499"/>
      <c r="CI78" s="499"/>
      <c r="CJ78" s="526"/>
      <c r="CK78" s="481"/>
      <c r="CL78" s="499"/>
      <c r="CM78" s="499"/>
      <c r="CN78" s="526"/>
      <c r="CO78" s="481"/>
      <c r="CP78" s="499"/>
      <c r="CQ78" s="499"/>
      <c r="CR78" s="516"/>
      <c r="CS78" s="481"/>
      <c r="CT78" s="499"/>
      <c r="CU78" s="499"/>
      <c r="CV78" s="516"/>
      <c r="CW78" s="481"/>
      <c r="CX78" s="499"/>
      <c r="CY78" s="499"/>
      <c r="CZ78" s="526"/>
      <c r="DA78" s="481"/>
      <c r="DB78" s="499"/>
      <c r="DC78" s="499"/>
      <c r="DD78" s="526"/>
      <c r="DE78" s="481"/>
    </row>
    <row r="79" spans="1:111" ht="12.75">
      <c r="A79" s="504">
        <v>65</v>
      </c>
      <c r="B79" s="522" t="s">
        <v>509</v>
      </c>
      <c r="C79" s="371" t="s">
        <v>170</v>
      </c>
      <c r="D79" s="371" t="s">
        <v>510</v>
      </c>
      <c r="F79" s="548"/>
      <c r="G79" s="506">
        <f t="shared" si="2"/>
        <v>3723.708288219589</v>
      </c>
      <c r="H79" s="507">
        <f aca="true" t="shared" si="3" ref="H79:H142">M79+Q79+U79+Y79+AC79+AG79+AK79+AO79+AS79+AW79+BA79+BE79+BI79+BM79+BQ79+BU79+BY79+CC79+CG79+CK79+CO79+CS79+CW79+DA79+DE79</f>
        <v>3723.708288219589</v>
      </c>
      <c r="I79" s="508">
        <v>4</v>
      </c>
      <c r="J79" s="524"/>
      <c r="K79" s="499"/>
      <c r="M79" s="491"/>
      <c r="N79" s="524"/>
      <c r="O79" s="499"/>
      <c r="P79" s="516"/>
      <c r="Q79" s="481"/>
      <c r="R79" s="524"/>
      <c r="S79" s="499"/>
      <c r="T79" s="516"/>
      <c r="U79" s="481"/>
      <c r="V79" s="524"/>
      <c r="W79" s="499"/>
      <c r="X79" s="516"/>
      <c r="Y79" s="481"/>
      <c r="Z79" s="509" t="s">
        <v>443</v>
      </c>
      <c r="AA79" s="509" t="s">
        <v>1</v>
      </c>
      <c r="AB79" s="520">
        <v>0.015787037037037037</v>
      </c>
      <c r="AC79" s="481">
        <v>876.9427839453459</v>
      </c>
      <c r="AD79" s="509"/>
      <c r="AE79" s="509"/>
      <c r="AF79" s="501"/>
      <c r="AG79" s="491"/>
      <c r="AH79" s="509" t="s">
        <v>443</v>
      </c>
      <c r="AI79" s="509" t="s">
        <v>1</v>
      </c>
      <c r="AJ79" s="520">
        <v>0.04920138888888889</v>
      </c>
      <c r="AK79" s="481">
        <v>942.4403526970954</v>
      </c>
      <c r="AL79" s="524"/>
      <c r="AM79" s="537"/>
      <c r="AN79" s="526"/>
      <c r="AO79" s="481"/>
      <c r="AP79" s="524"/>
      <c r="AQ79" s="524"/>
      <c r="AR79" s="516"/>
      <c r="AS79" s="481"/>
      <c r="AT79" s="524"/>
      <c r="AU79" s="524"/>
      <c r="AV79" s="526"/>
      <c r="AW79" s="481"/>
      <c r="AX79" s="524"/>
      <c r="AY79" s="524"/>
      <c r="AZ79" s="526"/>
      <c r="BA79" s="481"/>
      <c r="BB79" s="524"/>
      <c r="BC79" s="524"/>
      <c r="BD79" s="516"/>
      <c r="BE79" s="481"/>
      <c r="BF79" s="499"/>
      <c r="BG79" s="499"/>
      <c r="BH79" s="526"/>
      <c r="BI79" s="481"/>
      <c r="BJ79" s="499"/>
      <c r="BK79" s="499"/>
      <c r="BL79" s="498"/>
      <c r="BM79" s="491"/>
      <c r="BN79" s="499"/>
      <c r="BO79" s="499"/>
      <c r="BP79" s="516"/>
      <c r="BQ79" s="481"/>
      <c r="BR79" s="499"/>
      <c r="BS79" s="499"/>
      <c r="BT79" s="516"/>
      <c r="BU79" s="481"/>
      <c r="BV79" s="509" t="s">
        <v>237</v>
      </c>
      <c r="BW79" s="509" t="s">
        <v>1</v>
      </c>
      <c r="BX79" s="513">
        <v>0.03795138888888889</v>
      </c>
      <c r="BY79" s="481">
        <v>1020.3668861712139</v>
      </c>
      <c r="BZ79" s="509" t="s">
        <v>237</v>
      </c>
      <c r="CA79" s="509" t="s">
        <v>1</v>
      </c>
      <c r="CB79" s="513">
        <v>0.08222222222222221</v>
      </c>
      <c r="CC79" s="481">
        <v>883.9582654059343</v>
      </c>
      <c r="CD79" s="499"/>
      <c r="CE79" s="499"/>
      <c r="CF79" s="526"/>
      <c r="CG79" s="481"/>
      <c r="CH79" s="499"/>
      <c r="CI79" s="499"/>
      <c r="CJ79" s="526"/>
      <c r="CK79" s="481"/>
      <c r="CL79" s="499"/>
      <c r="CM79" s="499"/>
      <c r="CN79" s="526"/>
      <c r="CO79" s="481"/>
      <c r="CP79" s="499"/>
      <c r="CQ79" s="499"/>
      <c r="CR79" s="516"/>
      <c r="CS79" s="481"/>
      <c r="CT79" s="499"/>
      <c r="CU79" s="499"/>
      <c r="CV79" s="516"/>
      <c r="CW79" s="481"/>
      <c r="CX79" s="499"/>
      <c r="CY79" s="499"/>
      <c r="CZ79" s="526"/>
      <c r="DA79" s="481"/>
      <c r="DB79" s="499"/>
      <c r="DC79" s="499"/>
      <c r="DD79" s="516"/>
      <c r="DE79" s="481"/>
      <c r="DF79" s="494"/>
      <c r="DG79" s="494"/>
    </row>
    <row r="80" spans="1:109" ht="12.75">
      <c r="A80" s="504">
        <v>66</v>
      </c>
      <c r="B80" s="522" t="s">
        <v>323</v>
      </c>
      <c r="C80" s="371" t="s">
        <v>170</v>
      </c>
      <c r="D80" s="371" t="s">
        <v>324</v>
      </c>
      <c r="F80" s="548"/>
      <c r="G80" s="506">
        <f t="shared" si="2"/>
        <v>3612.5761224328116</v>
      </c>
      <c r="H80" s="507">
        <f t="shared" si="3"/>
        <v>3612.5761224328116</v>
      </c>
      <c r="I80" s="508">
        <v>5</v>
      </c>
      <c r="J80" s="524"/>
      <c r="K80" s="499"/>
      <c r="M80" s="491"/>
      <c r="N80" s="524"/>
      <c r="O80" s="499"/>
      <c r="Q80" s="491"/>
      <c r="R80" s="509" t="s">
        <v>292</v>
      </c>
      <c r="S80" s="509" t="s">
        <v>1</v>
      </c>
      <c r="T80" s="513">
        <v>0.07865740740740741</v>
      </c>
      <c r="U80" s="481">
        <v>691.3152320431349</v>
      </c>
      <c r="V80" s="509" t="s">
        <v>292</v>
      </c>
      <c r="W80" s="509" t="s">
        <v>1</v>
      </c>
      <c r="X80" s="513">
        <v>0.05975694444444444</v>
      </c>
      <c r="Y80" s="481">
        <v>767.7804295942723</v>
      </c>
      <c r="Z80" s="524"/>
      <c r="AA80" s="499"/>
      <c r="AC80" s="481"/>
      <c r="AD80" s="524"/>
      <c r="AE80" s="524"/>
      <c r="AG80" s="491"/>
      <c r="AH80" s="524"/>
      <c r="AI80" s="524"/>
      <c r="AK80" s="481"/>
      <c r="AL80" s="524"/>
      <c r="AM80" s="537"/>
      <c r="AN80" s="526"/>
      <c r="AO80" s="481"/>
      <c r="AP80" s="524"/>
      <c r="AQ80" s="524"/>
      <c r="AR80" s="535"/>
      <c r="AS80" s="481"/>
      <c r="AT80" s="509" t="s">
        <v>633</v>
      </c>
      <c r="AU80" s="509" t="s">
        <v>2</v>
      </c>
      <c r="AV80" s="513">
        <v>0.02217592592592593</v>
      </c>
      <c r="AW80" s="481">
        <v>716.8402154398565</v>
      </c>
      <c r="AX80" s="509" t="s">
        <v>633</v>
      </c>
      <c r="AY80" s="509" t="s">
        <v>2</v>
      </c>
      <c r="AZ80" s="513">
        <v>0.03400462962962963</v>
      </c>
      <c r="BA80" s="481">
        <v>663.5584843492588</v>
      </c>
      <c r="BB80" s="509" t="s">
        <v>633</v>
      </c>
      <c r="BC80" s="509" t="s">
        <v>2</v>
      </c>
      <c r="BD80" s="513">
        <v>0.04172453703703704</v>
      </c>
      <c r="BE80" s="481">
        <v>773.0817610062893</v>
      </c>
      <c r="BF80" s="499"/>
      <c r="BG80" s="499"/>
      <c r="BH80" s="526"/>
      <c r="BI80" s="481"/>
      <c r="BJ80" s="499"/>
      <c r="BK80" s="499"/>
      <c r="BL80" s="516"/>
      <c r="BM80" s="491"/>
      <c r="BN80" s="499"/>
      <c r="BO80" s="499"/>
      <c r="BP80" s="526"/>
      <c r="BQ80" s="481"/>
      <c r="BR80" s="499"/>
      <c r="BS80" s="499"/>
      <c r="BT80" s="526"/>
      <c r="BU80" s="481"/>
      <c r="BV80" s="499"/>
      <c r="BW80" s="499"/>
      <c r="BX80" s="516"/>
      <c r="BY80" s="481"/>
      <c r="BZ80" s="499"/>
      <c r="CA80" s="499"/>
      <c r="CB80" s="516"/>
      <c r="CC80" s="481"/>
      <c r="CD80" s="499"/>
      <c r="CE80" s="499"/>
      <c r="CF80" s="516"/>
      <c r="CG80" s="481"/>
      <c r="CH80" s="499"/>
      <c r="CI80" s="499"/>
      <c r="CJ80" s="526"/>
      <c r="CK80" s="481"/>
      <c r="CL80" s="499"/>
      <c r="CM80" s="499"/>
      <c r="CN80" s="526"/>
      <c r="CO80" s="481"/>
      <c r="CP80" s="499"/>
      <c r="CQ80" s="499"/>
      <c r="CR80" s="516"/>
      <c r="CS80" s="481"/>
      <c r="CT80" s="499"/>
      <c r="CU80" s="499"/>
      <c r="CV80" s="516"/>
      <c r="CW80" s="481"/>
      <c r="CX80" s="499"/>
      <c r="CY80" s="499"/>
      <c r="CZ80" s="516"/>
      <c r="DA80" s="481"/>
      <c r="DB80" s="499"/>
      <c r="DC80" s="499"/>
      <c r="DD80" s="526"/>
      <c r="DE80" s="481"/>
    </row>
    <row r="81" spans="1:109" ht="12.75">
      <c r="A81" s="504">
        <v>67</v>
      </c>
      <c r="B81" s="505" t="s">
        <v>52</v>
      </c>
      <c r="C81" s="371" t="s">
        <v>10</v>
      </c>
      <c r="D81" s="371" t="s">
        <v>53</v>
      </c>
      <c r="F81" s="548">
        <v>1981</v>
      </c>
      <c r="G81" s="506">
        <f t="shared" si="2"/>
        <v>3529.1224227963166</v>
      </c>
      <c r="H81" s="507">
        <f t="shared" si="3"/>
        <v>3529.1224227963166</v>
      </c>
      <c r="I81" s="508">
        <v>10</v>
      </c>
      <c r="J81" s="509"/>
      <c r="K81" s="509"/>
      <c r="L81" s="509"/>
      <c r="M81" s="542"/>
      <c r="N81" s="509" t="s">
        <v>551</v>
      </c>
      <c r="O81" s="509" t="s">
        <v>1</v>
      </c>
      <c r="P81" s="513">
        <v>0.07133101851851852</v>
      </c>
      <c r="Q81" s="481">
        <v>258.54761231986447</v>
      </c>
      <c r="R81" s="524"/>
      <c r="S81" s="499"/>
      <c r="T81" s="516"/>
      <c r="U81" s="481"/>
      <c r="V81" s="524"/>
      <c r="W81" s="499"/>
      <c r="Y81" s="481"/>
      <c r="Z81" s="509" t="s">
        <v>443</v>
      </c>
      <c r="AA81" s="509" t="s">
        <v>1</v>
      </c>
      <c r="AB81" s="520">
        <v>0.029421296296296296</v>
      </c>
      <c r="AC81" s="481">
        <v>10</v>
      </c>
      <c r="AD81" s="509" t="s">
        <v>443</v>
      </c>
      <c r="AE81" s="509" t="s">
        <v>1</v>
      </c>
      <c r="AF81" s="520">
        <v>0.0958912037037037</v>
      </c>
      <c r="AG81" s="481">
        <v>467.2578828828829</v>
      </c>
      <c r="AH81" s="509" t="s">
        <v>443</v>
      </c>
      <c r="AI81" s="509" t="s">
        <v>1</v>
      </c>
      <c r="AJ81" s="520">
        <v>0.07165509259259259</v>
      </c>
      <c r="AK81" s="481">
        <v>414.1727178423238</v>
      </c>
      <c r="AL81" s="509" t="s">
        <v>625</v>
      </c>
      <c r="AM81" s="509" t="s">
        <v>1</v>
      </c>
      <c r="AN81" s="513">
        <v>0.12336805555555556</v>
      </c>
      <c r="AO81" s="481">
        <v>451.8413597733709</v>
      </c>
      <c r="AP81" s="509" t="s">
        <v>625</v>
      </c>
      <c r="AQ81" s="509" t="s">
        <v>1</v>
      </c>
      <c r="AR81" s="513">
        <v>0.03214120370370371</v>
      </c>
      <c r="AS81" s="481">
        <v>428.1322505800466</v>
      </c>
      <c r="AT81" s="509" t="s">
        <v>377</v>
      </c>
      <c r="AU81" s="509" t="s">
        <v>1</v>
      </c>
      <c r="AV81" s="513">
        <v>0.034409722222222223</v>
      </c>
      <c r="AW81" s="481">
        <v>214.9456521739132</v>
      </c>
      <c r="AX81" s="509" t="s">
        <v>377</v>
      </c>
      <c r="AY81" s="509" t="s">
        <v>1</v>
      </c>
      <c r="AZ81" s="513">
        <v>0.050972222222222224</v>
      </c>
      <c r="BA81" s="481">
        <v>444.3609022556388</v>
      </c>
      <c r="BB81" s="509" t="s">
        <v>377</v>
      </c>
      <c r="BC81" s="509" t="s">
        <v>1</v>
      </c>
      <c r="BD81" s="513">
        <v>0.06498842592592592</v>
      </c>
      <c r="BE81" s="481">
        <v>597.5152905198779</v>
      </c>
      <c r="BF81" s="499"/>
      <c r="BG81" s="499"/>
      <c r="BH81" s="516"/>
      <c r="BI81" s="481"/>
      <c r="BJ81" s="499"/>
      <c r="BK81" s="499"/>
      <c r="BL81" s="516"/>
      <c r="BM81" s="481"/>
      <c r="BN81" s="499"/>
      <c r="BO81" s="499"/>
      <c r="BP81" s="516"/>
      <c r="BQ81" s="481"/>
      <c r="BR81" s="499"/>
      <c r="BS81" s="499"/>
      <c r="BT81" s="516"/>
      <c r="BU81" s="481"/>
      <c r="BV81" s="499"/>
      <c r="BW81" s="499"/>
      <c r="BX81" s="516"/>
      <c r="BY81" s="481"/>
      <c r="BZ81" s="499"/>
      <c r="CA81" s="499"/>
      <c r="CB81" s="516"/>
      <c r="CC81" s="481"/>
      <c r="CD81" s="509" t="s">
        <v>292</v>
      </c>
      <c r="CE81" s="509" t="s">
        <v>1</v>
      </c>
      <c r="CF81" s="513">
        <v>0.06366898148148148</v>
      </c>
      <c r="CG81" s="481">
        <v>242.34875444839847</v>
      </c>
      <c r="CH81" s="499"/>
      <c r="CI81" s="499"/>
      <c r="CJ81" s="526"/>
      <c r="CK81" s="481"/>
      <c r="CL81" s="499"/>
      <c r="CM81" s="499"/>
      <c r="CN81" s="526"/>
      <c r="CO81" s="481"/>
      <c r="CP81" s="499"/>
      <c r="CQ81" s="499"/>
      <c r="CR81" s="526"/>
      <c r="CS81" s="481"/>
      <c r="CT81" s="499"/>
      <c r="CU81" s="499"/>
      <c r="CV81" s="526"/>
      <c r="CW81" s="481"/>
      <c r="CX81" s="499"/>
      <c r="CY81" s="499"/>
      <c r="CZ81" s="526"/>
      <c r="DA81" s="481"/>
      <c r="DB81" s="499"/>
      <c r="DC81" s="499"/>
      <c r="DD81" s="516"/>
      <c r="DE81" s="481"/>
    </row>
    <row r="82" spans="1:111" ht="12.75">
      <c r="A82" s="504">
        <v>68</v>
      </c>
      <c r="B82" s="522" t="s">
        <v>556</v>
      </c>
      <c r="C82" s="371" t="s">
        <v>187</v>
      </c>
      <c r="F82" s="548"/>
      <c r="G82" s="506">
        <f t="shared" si="2"/>
        <v>3511.696279086143</v>
      </c>
      <c r="H82" s="507">
        <f t="shared" si="3"/>
        <v>3511.696279086143</v>
      </c>
      <c r="I82" s="508">
        <v>5</v>
      </c>
      <c r="J82" s="524"/>
      <c r="K82" s="499"/>
      <c r="M82" s="491"/>
      <c r="N82" s="524"/>
      <c r="O82" s="499"/>
      <c r="Q82" s="491"/>
      <c r="R82" s="509" t="s">
        <v>292</v>
      </c>
      <c r="S82" s="509" t="s">
        <v>1</v>
      </c>
      <c r="T82" s="513">
        <v>0.10109953703703704</v>
      </c>
      <c r="U82" s="481">
        <v>317.92797997304035</v>
      </c>
      <c r="V82" s="509" t="s">
        <v>292</v>
      </c>
      <c r="W82" s="509" t="s">
        <v>1</v>
      </c>
      <c r="X82" s="513">
        <v>0.058611111111111114</v>
      </c>
      <c r="Y82" s="481">
        <v>791.4081145584726</v>
      </c>
      <c r="Z82" s="524"/>
      <c r="AA82" s="499"/>
      <c r="AC82" s="481"/>
      <c r="AD82" s="524"/>
      <c r="AE82" s="524"/>
      <c r="AG82" s="491"/>
      <c r="AH82" s="524"/>
      <c r="AI82" s="524"/>
      <c r="AK82" s="481"/>
      <c r="AL82" s="524"/>
      <c r="AM82" s="537"/>
      <c r="AN82" s="526"/>
      <c r="AO82" s="481"/>
      <c r="AP82" s="524"/>
      <c r="AQ82" s="498"/>
      <c r="AR82" s="526"/>
      <c r="AS82" s="481"/>
      <c r="AT82" s="509" t="s">
        <v>632</v>
      </c>
      <c r="AU82" s="509" t="s">
        <v>2</v>
      </c>
      <c r="AV82" s="513">
        <v>0.01972222222222222</v>
      </c>
      <c r="AW82" s="481">
        <v>823.4111310592461</v>
      </c>
      <c r="AX82" s="509" t="s">
        <v>632</v>
      </c>
      <c r="AY82" s="509" t="s">
        <v>2</v>
      </c>
      <c r="AZ82" s="513">
        <v>0.031053240740740742</v>
      </c>
      <c r="BA82" s="481">
        <v>751.7792421746294</v>
      </c>
      <c r="BB82" s="509" t="s">
        <v>632</v>
      </c>
      <c r="BC82" s="509" t="s">
        <v>2</v>
      </c>
      <c r="BD82" s="513">
        <v>0.03923611111111111</v>
      </c>
      <c r="BE82" s="481">
        <v>827.1698113207545</v>
      </c>
      <c r="BF82" s="499"/>
      <c r="BG82" s="499"/>
      <c r="BH82" s="526"/>
      <c r="BI82" s="481"/>
      <c r="BJ82" s="499"/>
      <c r="BK82" s="499"/>
      <c r="BL82" s="516"/>
      <c r="BM82" s="491"/>
      <c r="BN82" s="499"/>
      <c r="BO82" s="499"/>
      <c r="BP82" s="516"/>
      <c r="BQ82" s="481"/>
      <c r="BR82" s="499"/>
      <c r="BS82" s="499"/>
      <c r="BT82" s="498"/>
      <c r="BU82" s="481"/>
      <c r="BV82" s="499"/>
      <c r="BW82" s="499"/>
      <c r="BX82" s="516"/>
      <c r="BY82" s="481"/>
      <c r="BZ82" s="499"/>
      <c r="CA82" s="499"/>
      <c r="CB82" s="516"/>
      <c r="CC82" s="481"/>
      <c r="CD82" s="499"/>
      <c r="CE82" s="499"/>
      <c r="CF82" s="526"/>
      <c r="CG82" s="481"/>
      <c r="CH82" s="499"/>
      <c r="CI82" s="499"/>
      <c r="CJ82" s="516"/>
      <c r="CK82" s="481"/>
      <c r="CL82" s="499"/>
      <c r="CM82" s="499"/>
      <c r="CN82" s="516"/>
      <c r="CO82" s="481"/>
      <c r="CP82" s="499"/>
      <c r="CQ82" s="499"/>
      <c r="CR82" s="516"/>
      <c r="CS82" s="481"/>
      <c r="CT82" s="499"/>
      <c r="CU82" s="499"/>
      <c r="CV82" s="516"/>
      <c r="CW82" s="481"/>
      <c r="CX82" s="499"/>
      <c r="CY82" s="499"/>
      <c r="CZ82" s="526"/>
      <c r="DA82" s="481"/>
      <c r="DB82" s="499"/>
      <c r="DC82" s="499"/>
      <c r="DD82" s="526"/>
      <c r="DE82" s="481"/>
      <c r="DF82" s="494"/>
      <c r="DG82" s="494"/>
    </row>
    <row r="83" spans="1:111" ht="12.75">
      <c r="A83" s="504">
        <v>69</v>
      </c>
      <c r="B83" s="505" t="s">
        <v>294</v>
      </c>
      <c r="C83" s="371" t="s">
        <v>10</v>
      </c>
      <c r="D83" s="371" t="s">
        <v>83</v>
      </c>
      <c r="E83" s="495" t="s">
        <v>375</v>
      </c>
      <c r="F83" s="548">
        <v>1957</v>
      </c>
      <c r="G83" s="506">
        <f t="shared" si="2"/>
        <v>3452.7926433303555</v>
      </c>
      <c r="H83" s="507">
        <f t="shared" si="3"/>
        <v>3452.7926433303555</v>
      </c>
      <c r="I83" s="508">
        <v>6</v>
      </c>
      <c r="J83" s="524"/>
      <c r="K83" s="499"/>
      <c r="M83" s="491"/>
      <c r="N83" s="524" t="s">
        <v>64</v>
      </c>
      <c r="O83" s="499" t="s">
        <v>2</v>
      </c>
      <c r="P83" s="516">
        <v>0.051006944444444445</v>
      </c>
      <c r="Q83" s="481">
        <v>771.2270803949224</v>
      </c>
      <c r="R83" s="524"/>
      <c r="S83" s="499"/>
      <c r="T83" s="516"/>
      <c r="U83" s="481"/>
      <c r="V83" s="524"/>
      <c r="W83" s="499"/>
      <c r="X83" s="516"/>
      <c r="Y83" s="481"/>
      <c r="Z83" s="509" t="s">
        <v>396</v>
      </c>
      <c r="AA83" s="509" t="s">
        <v>158</v>
      </c>
      <c r="AB83" s="501" t="s">
        <v>358</v>
      </c>
      <c r="AC83" s="481">
        <v>0</v>
      </c>
      <c r="AD83" s="524"/>
      <c r="AE83" s="524"/>
      <c r="AF83" s="516"/>
      <c r="AG83" s="491"/>
      <c r="AH83" s="524"/>
      <c r="AI83" s="524"/>
      <c r="AJ83" s="516"/>
      <c r="AK83" s="481"/>
      <c r="AL83" s="524"/>
      <c r="AM83" s="537"/>
      <c r="AN83" s="526"/>
      <c r="AO83" s="481"/>
      <c r="AP83" s="524"/>
      <c r="AQ83" s="498"/>
      <c r="AR83" s="535"/>
      <c r="AS83" s="481"/>
      <c r="AT83" s="509" t="s">
        <v>223</v>
      </c>
      <c r="AU83" s="509" t="s">
        <v>158</v>
      </c>
      <c r="AV83" s="513">
        <v>0.020243055555555552</v>
      </c>
      <c r="AW83" s="481">
        <v>577.2812500000002</v>
      </c>
      <c r="AX83" s="509" t="s">
        <v>223</v>
      </c>
      <c r="AY83" s="509" t="s">
        <v>158</v>
      </c>
      <c r="AZ83" s="513">
        <v>0.026747685185185183</v>
      </c>
      <c r="BA83" s="481">
        <v>712.717342844405</v>
      </c>
      <c r="BB83" s="509" t="s">
        <v>223</v>
      </c>
      <c r="BC83" s="509" t="s">
        <v>158</v>
      </c>
      <c r="BD83" s="513">
        <v>0.030138888888888885</v>
      </c>
      <c r="BE83" s="481">
        <v>735</v>
      </c>
      <c r="BF83" s="499"/>
      <c r="BG83" s="499"/>
      <c r="BH83" s="526"/>
      <c r="BI83" s="481"/>
      <c r="BJ83" s="499"/>
      <c r="BK83" s="499"/>
      <c r="BL83" s="516"/>
      <c r="BM83" s="481"/>
      <c r="BN83" s="499"/>
      <c r="BO83" s="499"/>
      <c r="BP83" s="516"/>
      <c r="BQ83" s="481"/>
      <c r="BR83" s="499"/>
      <c r="BS83" s="499"/>
      <c r="BT83" s="526"/>
      <c r="BU83" s="481"/>
      <c r="BV83" s="499"/>
      <c r="BW83" s="499"/>
      <c r="BX83" s="498"/>
      <c r="BY83" s="481"/>
      <c r="BZ83" s="499"/>
      <c r="CA83" s="499"/>
      <c r="CB83" s="516"/>
      <c r="CC83" s="481"/>
      <c r="CD83" s="509" t="s">
        <v>651</v>
      </c>
      <c r="CE83" s="509" t="s">
        <v>2</v>
      </c>
      <c r="CF83" s="513">
        <v>0.044641203703703704</v>
      </c>
      <c r="CG83" s="481">
        <v>656.5669700910273</v>
      </c>
      <c r="CH83" s="499"/>
      <c r="CI83" s="499"/>
      <c r="CJ83" s="516"/>
      <c r="CK83" s="481"/>
      <c r="CL83" s="499"/>
      <c r="CM83" s="499"/>
      <c r="CN83" s="516"/>
      <c r="CO83" s="481"/>
      <c r="CP83" s="499"/>
      <c r="CQ83" s="499"/>
      <c r="CR83" s="526"/>
      <c r="CS83" s="481"/>
      <c r="CT83" s="499"/>
      <c r="CU83" s="499"/>
      <c r="CV83" s="526"/>
      <c r="CW83" s="481"/>
      <c r="CX83" s="499"/>
      <c r="CY83" s="499"/>
      <c r="CZ83" s="526"/>
      <c r="DA83" s="481"/>
      <c r="DB83" s="499"/>
      <c r="DC83" s="499"/>
      <c r="DD83" s="516"/>
      <c r="DE83" s="481"/>
      <c r="DF83" s="494"/>
      <c r="DG83" s="494"/>
    </row>
    <row r="84" spans="1:109" ht="12.75">
      <c r="A84" s="504">
        <v>70</v>
      </c>
      <c r="B84" s="505" t="s">
        <v>310</v>
      </c>
      <c r="C84" s="371" t="s">
        <v>95</v>
      </c>
      <c r="D84" s="371" t="s">
        <v>311</v>
      </c>
      <c r="E84" s="495" t="s">
        <v>375</v>
      </c>
      <c r="F84" s="548">
        <v>1955</v>
      </c>
      <c r="G84" s="506">
        <f t="shared" si="2"/>
        <v>3424.837120525929</v>
      </c>
      <c r="H84" s="507">
        <f t="shared" si="3"/>
        <v>3424.837120525929</v>
      </c>
      <c r="I84" s="508">
        <v>9</v>
      </c>
      <c r="J84" s="524"/>
      <c r="K84" s="499"/>
      <c r="L84" s="516"/>
      <c r="M84" s="481"/>
      <c r="N84" s="524"/>
      <c r="O84" s="499"/>
      <c r="P84" s="516"/>
      <c r="Q84" s="481"/>
      <c r="R84" s="524"/>
      <c r="S84" s="499"/>
      <c r="T84" s="516"/>
      <c r="U84" s="481"/>
      <c r="V84" s="524"/>
      <c r="W84" s="499"/>
      <c r="X84" s="516"/>
      <c r="Y84" s="481"/>
      <c r="Z84" s="524"/>
      <c r="AA84" s="499"/>
      <c r="AC84" s="481"/>
      <c r="AD84" s="524"/>
      <c r="AE84" s="537"/>
      <c r="AF84" s="516"/>
      <c r="AG84" s="491"/>
      <c r="AH84" s="524"/>
      <c r="AI84" s="524"/>
      <c r="AK84" s="481"/>
      <c r="AL84" s="524"/>
      <c r="AM84" s="524"/>
      <c r="AN84" s="516"/>
      <c r="AO84" s="481"/>
      <c r="AP84" s="524"/>
      <c r="AQ84" s="499"/>
      <c r="AR84" s="498"/>
      <c r="AS84" s="481"/>
      <c r="AT84" s="509" t="s">
        <v>383</v>
      </c>
      <c r="AU84" s="509" t="s">
        <v>172</v>
      </c>
      <c r="AV84" s="513">
        <v>0.018460648148148146</v>
      </c>
      <c r="AW84" s="481">
        <v>630</v>
      </c>
      <c r="AX84" s="509" t="s">
        <v>383</v>
      </c>
      <c r="AY84" s="509" t="s">
        <v>172</v>
      </c>
      <c r="AZ84" s="513">
        <v>0.027650462962962963</v>
      </c>
      <c r="BA84" s="481">
        <v>630</v>
      </c>
      <c r="BB84" s="509" t="s">
        <v>383</v>
      </c>
      <c r="BC84" s="509" t="s">
        <v>172</v>
      </c>
      <c r="BD84" s="513">
        <v>0.02460648148148148</v>
      </c>
      <c r="BE84" s="481">
        <v>630</v>
      </c>
      <c r="BF84" s="509" t="s">
        <v>743</v>
      </c>
      <c r="BG84" s="509" t="s">
        <v>158</v>
      </c>
      <c r="BH84" s="513">
        <v>0.0352662037037037</v>
      </c>
      <c r="BI84" s="481">
        <v>400.9836065573771</v>
      </c>
      <c r="BJ84" s="509" t="s">
        <v>743</v>
      </c>
      <c r="BK84" s="509" t="s">
        <v>158</v>
      </c>
      <c r="BL84" s="509" t="s">
        <v>358</v>
      </c>
      <c r="BM84" s="481">
        <v>0</v>
      </c>
      <c r="BN84" s="509" t="s">
        <v>743</v>
      </c>
      <c r="BO84" s="509" t="s">
        <v>158</v>
      </c>
      <c r="BP84" s="513">
        <v>0.051736111111111115</v>
      </c>
      <c r="BQ84" s="481">
        <v>385.73743922204216</v>
      </c>
      <c r="BR84" s="509" t="s">
        <v>743</v>
      </c>
      <c r="BS84" s="509" t="s">
        <v>158</v>
      </c>
      <c r="BT84" s="513">
        <v>0.036944444444444446</v>
      </c>
      <c r="BU84" s="481">
        <v>332.4414715719061</v>
      </c>
      <c r="BV84" s="499"/>
      <c r="BW84" s="499"/>
      <c r="BX84" s="526"/>
      <c r="BY84" s="481"/>
      <c r="BZ84" s="499"/>
      <c r="CA84" s="499"/>
      <c r="CB84" s="526"/>
      <c r="CC84" s="481"/>
      <c r="CD84" s="499"/>
      <c r="CE84" s="499"/>
      <c r="CF84" s="516"/>
      <c r="CG84" s="481"/>
      <c r="CH84" s="499"/>
      <c r="CI84" s="499"/>
      <c r="CJ84" s="526"/>
      <c r="CK84" s="481"/>
      <c r="CL84" s="499"/>
      <c r="CM84" s="499"/>
      <c r="CN84" s="526"/>
      <c r="CO84" s="481"/>
      <c r="CP84" s="499"/>
      <c r="CQ84" s="499"/>
      <c r="CR84" s="520"/>
      <c r="CS84" s="515"/>
      <c r="CT84" s="509"/>
      <c r="CU84" s="509"/>
      <c r="CV84" s="520"/>
      <c r="CW84" s="515"/>
      <c r="CX84" s="499" t="s">
        <v>872</v>
      </c>
      <c r="CY84" s="499" t="s">
        <v>2</v>
      </c>
      <c r="CZ84" s="516">
        <v>0.06908564814814815</v>
      </c>
      <c r="DA84" s="481">
        <v>415.67460317460336</v>
      </c>
      <c r="DB84" s="499" t="s">
        <v>872</v>
      </c>
      <c r="DC84" s="499" t="s">
        <v>2</v>
      </c>
      <c r="DD84" s="526" t="s">
        <v>358</v>
      </c>
      <c r="DE84" s="481">
        <v>0</v>
      </c>
    </row>
    <row r="85" spans="1:109" ht="12.75">
      <c r="A85" s="504">
        <v>71</v>
      </c>
      <c r="B85" s="505" t="s">
        <v>238</v>
      </c>
      <c r="C85" s="371" t="s">
        <v>10</v>
      </c>
      <c r="D85" s="371" t="s">
        <v>49</v>
      </c>
      <c r="F85" s="190">
        <v>1983</v>
      </c>
      <c r="G85" s="506">
        <f t="shared" si="2"/>
        <v>3381.4293017986706</v>
      </c>
      <c r="H85" s="507">
        <f t="shared" si="3"/>
        <v>3381.4293017986706</v>
      </c>
      <c r="I85" s="508">
        <v>8</v>
      </c>
      <c r="J85" s="524"/>
      <c r="K85" s="499"/>
      <c r="L85" s="526"/>
      <c r="M85" s="481"/>
      <c r="N85" s="524"/>
      <c r="O85" s="499"/>
      <c r="P85" s="516"/>
      <c r="Q85" s="481"/>
      <c r="R85" s="524"/>
      <c r="S85" s="499"/>
      <c r="T85" s="516"/>
      <c r="U85" s="491"/>
      <c r="V85" s="524"/>
      <c r="W85" s="499"/>
      <c r="Y85" s="481"/>
      <c r="Z85" s="513" t="s">
        <v>569</v>
      </c>
      <c r="AA85" s="509" t="s">
        <v>158</v>
      </c>
      <c r="AB85" s="520" t="s">
        <v>358</v>
      </c>
      <c r="AC85" s="481">
        <v>0</v>
      </c>
      <c r="AD85" s="513" t="s">
        <v>569</v>
      </c>
      <c r="AE85" s="509" t="s">
        <v>158</v>
      </c>
      <c r="AF85" s="513">
        <v>0.07836805555555555</v>
      </c>
      <c r="AG85" s="481">
        <v>517.5965665236052</v>
      </c>
      <c r="AH85" s="513" t="s">
        <v>569</v>
      </c>
      <c r="AI85" s="509" t="s">
        <v>158</v>
      </c>
      <c r="AJ85" s="520" t="s">
        <v>358</v>
      </c>
      <c r="AK85" s="481">
        <v>0</v>
      </c>
      <c r="AL85" s="524"/>
      <c r="AM85" s="537"/>
      <c r="AN85" s="526"/>
      <c r="AO85" s="481"/>
      <c r="AP85" s="524"/>
      <c r="AQ85" s="524"/>
      <c r="AR85" s="516"/>
      <c r="AS85" s="481"/>
      <c r="AT85" s="499"/>
      <c r="AU85" s="499"/>
      <c r="AV85" s="526"/>
      <c r="AW85" s="481"/>
      <c r="AX85" s="499"/>
      <c r="AY85" s="499"/>
      <c r="AZ85" s="526"/>
      <c r="BA85" s="481"/>
      <c r="BB85" s="499"/>
      <c r="BC85" s="499"/>
      <c r="BD85" s="516"/>
      <c r="BE85" s="491"/>
      <c r="BF85" s="509" t="s">
        <v>742</v>
      </c>
      <c r="BG85" s="509" t="s">
        <v>2</v>
      </c>
      <c r="BH85" s="513">
        <v>0.03530092592592592</v>
      </c>
      <c r="BI85" s="481">
        <v>625.9481037924152</v>
      </c>
      <c r="BJ85" s="509" t="s">
        <v>742</v>
      </c>
      <c r="BK85" s="509" t="s">
        <v>2</v>
      </c>
      <c r="BL85" s="513">
        <v>0.014131944444444445</v>
      </c>
      <c r="BM85" s="481">
        <v>640.4715127701375</v>
      </c>
      <c r="BN85" s="509" t="s">
        <v>742</v>
      </c>
      <c r="BO85" s="509" t="s">
        <v>2</v>
      </c>
      <c r="BP85" s="513">
        <v>0.07658564814814815</v>
      </c>
      <c r="BQ85" s="481">
        <v>450.716456795484</v>
      </c>
      <c r="BR85" s="509" t="s">
        <v>742</v>
      </c>
      <c r="BS85" s="509" t="s">
        <v>2</v>
      </c>
      <c r="BT85" s="513">
        <v>0.04226851851851852</v>
      </c>
      <c r="BU85" s="481">
        <v>639.5792241946089</v>
      </c>
      <c r="BV85" s="499"/>
      <c r="BW85" s="499"/>
      <c r="BX85" s="516"/>
      <c r="BY85" s="481"/>
      <c r="BZ85" s="499"/>
      <c r="CA85" s="499"/>
      <c r="CB85" s="526"/>
      <c r="CC85" s="481"/>
      <c r="CD85" s="509" t="s">
        <v>292</v>
      </c>
      <c r="CE85" s="509" t="s">
        <v>1</v>
      </c>
      <c r="CF85" s="513">
        <v>0.055057870370370375</v>
      </c>
      <c r="CG85" s="481">
        <v>507.11743772241977</v>
      </c>
      <c r="CH85" s="499"/>
      <c r="CI85" s="499"/>
      <c r="CJ85" s="526"/>
      <c r="CK85" s="481"/>
      <c r="CL85" s="499"/>
      <c r="CM85" s="499"/>
      <c r="CN85" s="526"/>
      <c r="CO85" s="481"/>
      <c r="CP85" s="499"/>
      <c r="CQ85" s="499"/>
      <c r="CR85" s="526"/>
      <c r="CS85" s="481"/>
      <c r="CT85" s="499"/>
      <c r="CU85" s="499"/>
      <c r="CV85" s="526"/>
      <c r="CW85" s="481"/>
      <c r="CX85" s="499"/>
      <c r="CY85" s="499"/>
      <c r="CZ85" s="526"/>
      <c r="DA85" s="481"/>
      <c r="DB85" s="499"/>
      <c r="DC85" s="499"/>
      <c r="DD85" s="516"/>
      <c r="DE85" s="481"/>
    </row>
    <row r="86" spans="1:111" ht="12.75">
      <c r="A86" s="504">
        <v>72</v>
      </c>
      <c r="B86" s="505" t="s">
        <v>541</v>
      </c>
      <c r="C86" s="371" t="s">
        <v>10</v>
      </c>
      <c r="D86" s="371" t="s">
        <v>542</v>
      </c>
      <c r="F86" s="190">
        <v>1994</v>
      </c>
      <c r="G86" s="506">
        <f t="shared" si="2"/>
        <v>3346.2369715328787</v>
      </c>
      <c r="H86" s="507">
        <f t="shared" si="3"/>
        <v>3346.2369715328787</v>
      </c>
      <c r="I86" s="508">
        <v>5</v>
      </c>
      <c r="J86" s="509" t="s">
        <v>547</v>
      </c>
      <c r="K86" s="509" t="s">
        <v>1</v>
      </c>
      <c r="L86" s="513">
        <v>0.04428240740740741</v>
      </c>
      <c r="M86" s="481">
        <v>677.4974075354303</v>
      </c>
      <c r="N86" s="509" t="s">
        <v>551</v>
      </c>
      <c r="O86" s="509" t="s">
        <v>1</v>
      </c>
      <c r="P86" s="513">
        <v>0.052083333333333336</v>
      </c>
      <c r="Q86" s="481">
        <v>728.4543656400114</v>
      </c>
      <c r="R86" s="524"/>
      <c r="S86" s="499"/>
      <c r="T86" s="516"/>
      <c r="U86" s="481"/>
      <c r="V86" s="524"/>
      <c r="W86" s="499"/>
      <c r="X86" s="516"/>
      <c r="Y86" s="481"/>
      <c r="Z86" s="524"/>
      <c r="AA86" s="499"/>
      <c r="AB86" s="516"/>
      <c r="AC86" s="481"/>
      <c r="AD86" s="524"/>
      <c r="AE86" s="524"/>
      <c r="AF86" s="516"/>
      <c r="AG86" s="491"/>
      <c r="AH86" s="524"/>
      <c r="AI86" s="537"/>
      <c r="AJ86" s="516"/>
      <c r="AK86" s="481"/>
      <c r="AL86" s="509" t="s">
        <v>625</v>
      </c>
      <c r="AM86" s="509" t="s">
        <v>1</v>
      </c>
      <c r="AN86" s="513">
        <v>0.10857638888888889</v>
      </c>
      <c r="AO86" s="481">
        <v>661.4432682272253</v>
      </c>
      <c r="AP86" s="509" t="s">
        <v>625</v>
      </c>
      <c r="AQ86" s="509" t="s">
        <v>1</v>
      </c>
      <c r="AR86" s="513">
        <v>0.030659722222222224</v>
      </c>
      <c r="AS86" s="481">
        <v>509.80278422273807</v>
      </c>
      <c r="AT86" s="499"/>
      <c r="AU86" s="524"/>
      <c r="AV86" s="516"/>
      <c r="AW86" s="481"/>
      <c r="AX86" s="499"/>
      <c r="AY86" s="524"/>
      <c r="AZ86" s="516"/>
      <c r="BA86" s="481"/>
      <c r="BB86" s="499"/>
      <c r="BC86" s="524"/>
      <c r="BD86" s="516"/>
      <c r="BE86" s="481"/>
      <c r="BF86" s="499"/>
      <c r="BG86" s="499"/>
      <c r="BH86" s="526"/>
      <c r="BI86" s="481"/>
      <c r="BJ86" s="499"/>
      <c r="BK86" s="499"/>
      <c r="BL86" s="516"/>
      <c r="BM86" s="491"/>
      <c r="BN86" s="499"/>
      <c r="BO86" s="499"/>
      <c r="BP86" s="526"/>
      <c r="BQ86" s="481"/>
      <c r="BR86" s="499"/>
      <c r="BS86" s="499"/>
      <c r="BT86" s="526"/>
      <c r="BU86" s="481"/>
      <c r="BV86" s="499"/>
      <c r="BW86" s="499"/>
      <c r="BX86" s="526"/>
      <c r="BY86" s="481"/>
      <c r="BZ86" s="499"/>
      <c r="CA86" s="499"/>
      <c r="CB86" s="526"/>
      <c r="CC86" s="481"/>
      <c r="CD86" s="509" t="s">
        <v>292</v>
      </c>
      <c r="CE86" s="509" t="s">
        <v>1</v>
      </c>
      <c r="CF86" s="513">
        <v>0.04653935185185185</v>
      </c>
      <c r="CG86" s="481">
        <v>769.0391459074733</v>
      </c>
      <c r="CH86" s="499"/>
      <c r="CI86" s="499"/>
      <c r="CJ86" s="526"/>
      <c r="CK86" s="481"/>
      <c r="CL86" s="499"/>
      <c r="CM86" s="499"/>
      <c r="CN86" s="526"/>
      <c r="CO86" s="481"/>
      <c r="CP86" s="499"/>
      <c r="CQ86" s="499"/>
      <c r="CR86" s="516"/>
      <c r="CS86" s="481"/>
      <c r="CT86" s="499"/>
      <c r="CU86" s="499"/>
      <c r="CV86" s="516"/>
      <c r="CW86" s="481"/>
      <c r="CX86" s="499"/>
      <c r="CY86" s="499"/>
      <c r="CZ86" s="526"/>
      <c r="DA86" s="481"/>
      <c r="DB86" s="499"/>
      <c r="DC86" s="499"/>
      <c r="DD86" s="516"/>
      <c r="DE86" s="481"/>
      <c r="DF86" s="494"/>
      <c r="DG86" s="494"/>
    </row>
    <row r="87" spans="1:109" ht="12.75">
      <c r="A87" s="504">
        <v>73</v>
      </c>
      <c r="B87" s="522" t="s">
        <v>570</v>
      </c>
      <c r="C87" s="485" t="s">
        <v>10</v>
      </c>
      <c r="D87" s="485" t="s">
        <v>235</v>
      </c>
      <c r="F87" s="548">
        <v>1984</v>
      </c>
      <c r="G87" s="506">
        <f t="shared" si="2"/>
        <v>3343.080466963516</v>
      </c>
      <c r="H87" s="507">
        <f t="shared" si="3"/>
        <v>3343.080466963516</v>
      </c>
      <c r="I87" s="508">
        <v>7</v>
      </c>
      <c r="J87" s="524"/>
      <c r="K87" s="499"/>
      <c r="M87" s="491"/>
      <c r="N87" s="524"/>
      <c r="O87" s="499"/>
      <c r="Q87" s="491"/>
      <c r="R87" s="524"/>
      <c r="S87" s="499"/>
      <c r="U87" s="481"/>
      <c r="V87" s="524"/>
      <c r="W87" s="499"/>
      <c r="Y87" s="491"/>
      <c r="Z87" s="513" t="s">
        <v>569</v>
      </c>
      <c r="AA87" s="509" t="s">
        <v>158</v>
      </c>
      <c r="AB87" s="513">
        <v>0.017638888888888888</v>
      </c>
      <c r="AC87" s="481">
        <v>339.5183246073299</v>
      </c>
      <c r="AD87" s="513" t="s">
        <v>569</v>
      </c>
      <c r="AE87" s="509" t="s">
        <v>158</v>
      </c>
      <c r="AF87" s="513">
        <v>0.08159722222222222</v>
      </c>
      <c r="AG87" s="481">
        <v>469.6995708154506</v>
      </c>
      <c r="AH87" s="513" t="s">
        <v>569</v>
      </c>
      <c r="AI87" s="509" t="s">
        <v>158</v>
      </c>
      <c r="AJ87" s="513">
        <v>0.05475694444444445</v>
      </c>
      <c r="AK87" s="481">
        <v>453.8228941684664</v>
      </c>
      <c r="AL87" s="509" t="s">
        <v>625</v>
      </c>
      <c r="AM87" s="509" t="s">
        <v>1</v>
      </c>
      <c r="AN87" s="518" t="s">
        <v>358</v>
      </c>
      <c r="AO87" s="481">
        <v>0</v>
      </c>
      <c r="AP87" s="509" t="s">
        <v>625</v>
      </c>
      <c r="AQ87" s="509" t="s">
        <v>1</v>
      </c>
      <c r="AR87" s="513">
        <v>0.028252314814814813</v>
      </c>
      <c r="AS87" s="481">
        <v>642.5174013921117</v>
      </c>
      <c r="AT87" s="499"/>
      <c r="AU87" s="499"/>
      <c r="AV87" s="526"/>
      <c r="AW87" s="481"/>
      <c r="AX87" s="499"/>
      <c r="AY87" s="499"/>
      <c r="AZ87" s="526"/>
      <c r="BA87" s="481"/>
      <c r="BB87" s="499"/>
      <c r="BC87" s="499"/>
      <c r="BD87" s="516"/>
      <c r="BE87" s="481"/>
      <c r="BF87" s="499"/>
      <c r="BG87" s="499"/>
      <c r="BH87" s="516"/>
      <c r="BI87" s="481"/>
      <c r="BJ87" s="499"/>
      <c r="BK87" s="499"/>
      <c r="BL87" s="516"/>
      <c r="BM87" s="491"/>
      <c r="BN87" s="499"/>
      <c r="BO87" s="499"/>
      <c r="BP87" s="526"/>
      <c r="BQ87" s="481"/>
      <c r="BR87" s="499"/>
      <c r="BS87" s="499"/>
      <c r="BT87" s="526"/>
      <c r="BU87" s="481"/>
      <c r="BV87" s="499"/>
      <c r="BW87" s="499"/>
      <c r="BX87" s="526"/>
      <c r="BY87" s="481"/>
      <c r="BZ87" s="499"/>
      <c r="CA87" s="499"/>
      <c r="CB87" s="526"/>
      <c r="CC87" s="481"/>
      <c r="CD87" s="499"/>
      <c r="CE87" s="499"/>
      <c r="CF87" s="526"/>
      <c r="CG87" s="481"/>
      <c r="CH87" s="499"/>
      <c r="CI87" s="499"/>
      <c r="CJ87" s="516"/>
      <c r="CK87" s="481"/>
      <c r="CL87" s="499"/>
      <c r="CM87" s="499"/>
      <c r="CN87" s="516"/>
      <c r="CO87" s="481"/>
      <c r="CP87" s="499" t="s">
        <v>839</v>
      </c>
      <c r="CQ87" s="499" t="s">
        <v>1</v>
      </c>
      <c r="CR87" s="513">
        <v>0.04296296296296296</v>
      </c>
      <c r="CS87" s="481">
        <v>722.6428079834826</v>
      </c>
      <c r="CT87" s="499" t="s">
        <v>839</v>
      </c>
      <c r="CU87" s="499" t="s">
        <v>1</v>
      </c>
      <c r="CV87" s="513">
        <v>0.017893518518518517</v>
      </c>
      <c r="CW87" s="481">
        <v>714.879467996675</v>
      </c>
      <c r="CX87" s="499"/>
      <c r="CY87" s="499"/>
      <c r="CZ87" s="516"/>
      <c r="DA87" s="481"/>
      <c r="DB87" s="499"/>
      <c r="DC87" s="499"/>
      <c r="DD87" s="526"/>
      <c r="DE87" s="481"/>
    </row>
    <row r="88" spans="1:109" ht="12.75">
      <c r="A88" s="504">
        <v>74</v>
      </c>
      <c r="B88" s="505" t="s">
        <v>73</v>
      </c>
      <c r="C88" s="371" t="s">
        <v>10</v>
      </c>
      <c r="D88" s="371" t="s">
        <v>74</v>
      </c>
      <c r="F88" s="548">
        <v>1973</v>
      </c>
      <c r="G88" s="506">
        <f t="shared" si="2"/>
        <v>3201.1868855265084</v>
      </c>
      <c r="H88" s="507">
        <f t="shared" si="3"/>
        <v>3201.1868855265084</v>
      </c>
      <c r="I88" s="508">
        <v>5</v>
      </c>
      <c r="J88" s="509" t="s">
        <v>547</v>
      </c>
      <c r="K88" s="509" t="s">
        <v>1</v>
      </c>
      <c r="L88" s="513">
        <v>0.04494212962962963</v>
      </c>
      <c r="M88" s="481">
        <v>657.7946768060837</v>
      </c>
      <c r="N88" s="509" t="s">
        <v>551</v>
      </c>
      <c r="O88" s="509" t="s">
        <v>1</v>
      </c>
      <c r="P88" s="513">
        <v>0.06302083333333333</v>
      </c>
      <c r="Q88" s="481">
        <v>461.4297824244138</v>
      </c>
      <c r="R88" s="524"/>
      <c r="S88" s="499"/>
      <c r="T88" s="516"/>
      <c r="U88" s="481"/>
      <c r="V88" s="524"/>
      <c r="W88" s="499"/>
      <c r="X88" s="516"/>
      <c r="Y88" s="481"/>
      <c r="Z88" s="509" t="s">
        <v>396</v>
      </c>
      <c r="AA88" s="509" t="s">
        <v>158</v>
      </c>
      <c r="AB88" s="513">
        <v>0.013796296296296298</v>
      </c>
      <c r="AC88" s="481">
        <v>631.5392670157066</v>
      </c>
      <c r="AD88" s="509" t="s">
        <v>396</v>
      </c>
      <c r="AE88" s="509" t="s">
        <v>158</v>
      </c>
      <c r="AF88" s="513">
        <v>0.06620370370370371</v>
      </c>
      <c r="AG88" s="481">
        <v>698.0257510729612</v>
      </c>
      <c r="AH88" s="509" t="s">
        <v>396</v>
      </c>
      <c r="AI88" s="509" t="s">
        <v>158</v>
      </c>
      <c r="AJ88" s="513">
        <v>0.04142361111111111</v>
      </c>
      <c r="AK88" s="481">
        <v>752.3974082073433</v>
      </c>
      <c r="AL88" s="524"/>
      <c r="AM88" s="524"/>
      <c r="AN88" s="516"/>
      <c r="AO88" s="481"/>
      <c r="AP88" s="524"/>
      <c r="AQ88" s="524"/>
      <c r="AR88" s="535"/>
      <c r="AS88" s="481"/>
      <c r="AT88" s="499"/>
      <c r="AU88" s="499"/>
      <c r="AV88" s="516"/>
      <c r="AW88" s="481"/>
      <c r="AX88" s="499"/>
      <c r="AY88" s="499"/>
      <c r="AZ88" s="498"/>
      <c r="BA88" s="481"/>
      <c r="BB88" s="499"/>
      <c r="BC88" s="499"/>
      <c r="BD88" s="516"/>
      <c r="BE88" s="481"/>
      <c r="BF88" s="499"/>
      <c r="BG88" s="499"/>
      <c r="BH88" s="526"/>
      <c r="BI88" s="481"/>
      <c r="BJ88" s="499"/>
      <c r="BK88" s="499"/>
      <c r="BL88" s="516"/>
      <c r="BM88" s="491"/>
      <c r="BN88" s="499"/>
      <c r="BO88" s="499"/>
      <c r="BP88" s="516"/>
      <c r="BQ88" s="481"/>
      <c r="BR88" s="499"/>
      <c r="BS88" s="499"/>
      <c r="BT88" s="516"/>
      <c r="BU88" s="481"/>
      <c r="BV88" s="499"/>
      <c r="BW88" s="499"/>
      <c r="BX88" s="526"/>
      <c r="BY88" s="481"/>
      <c r="BZ88" s="499"/>
      <c r="CA88" s="499"/>
      <c r="CB88" s="526"/>
      <c r="CC88" s="481"/>
      <c r="CD88" s="499"/>
      <c r="CE88" s="499"/>
      <c r="CF88" s="526"/>
      <c r="CG88" s="481"/>
      <c r="CH88" s="499"/>
      <c r="CI88" s="499"/>
      <c r="CJ88" s="516"/>
      <c r="CK88" s="481"/>
      <c r="CL88" s="499"/>
      <c r="CM88" s="499"/>
      <c r="CN88" s="516"/>
      <c r="CO88" s="481"/>
      <c r="CP88" s="499"/>
      <c r="CQ88" s="499"/>
      <c r="CR88" s="516"/>
      <c r="CS88" s="481"/>
      <c r="CT88" s="499"/>
      <c r="CU88" s="499"/>
      <c r="CV88" s="516"/>
      <c r="CW88" s="481"/>
      <c r="CX88" s="499"/>
      <c r="CY88" s="499"/>
      <c r="CZ88" s="526"/>
      <c r="DA88" s="481"/>
      <c r="DB88" s="499"/>
      <c r="DC88" s="499"/>
      <c r="DD88" s="526"/>
      <c r="DE88" s="481"/>
    </row>
    <row r="89" spans="1:109" ht="12.75">
      <c r="A89" s="504">
        <v>75</v>
      </c>
      <c r="B89" s="505" t="s">
        <v>364</v>
      </c>
      <c r="C89" s="371" t="s">
        <v>10</v>
      </c>
      <c r="D89" s="371" t="s">
        <v>15</v>
      </c>
      <c r="E89" s="495" t="s">
        <v>375</v>
      </c>
      <c r="F89" s="548">
        <v>1953</v>
      </c>
      <c r="G89" s="506">
        <f t="shared" si="2"/>
        <v>3095.739613696991</v>
      </c>
      <c r="H89" s="507">
        <f t="shared" si="3"/>
        <v>3095.739613696991</v>
      </c>
      <c r="I89" s="508">
        <v>6</v>
      </c>
      <c r="J89" s="524"/>
      <c r="K89" s="499"/>
      <c r="M89" s="491"/>
      <c r="N89" s="524"/>
      <c r="O89" s="499"/>
      <c r="Q89" s="491"/>
      <c r="R89" s="524"/>
      <c r="S89" s="499"/>
      <c r="U89" s="491"/>
      <c r="V89" s="524"/>
      <c r="W89" s="499"/>
      <c r="Y89" s="491"/>
      <c r="Z89" s="524"/>
      <c r="AA89" s="499"/>
      <c r="AC89" s="491"/>
      <c r="AD89" s="524"/>
      <c r="AE89" s="524"/>
      <c r="AG89" s="491"/>
      <c r="AH89" s="524"/>
      <c r="AI89" s="524"/>
      <c r="AK89" s="491"/>
      <c r="AL89" s="509" t="s">
        <v>652</v>
      </c>
      <c r="AM89" s="509" t="s">
        <v>173</v>
      </c>
      <c r="AN89" s="513">
        <v>0.09408564814814814</v>
      </c>
      <c r="AO89" s="481">
        <v>359.0220311660398</v>
      </c>
      <c r="AP89" s="509" t="s">
        <v>652</v>
      </c>
      <c r="AQ89" s="509" t="s">
        <v>172</v>
      </c>
      <c r="AR89" s="513">
        <v>0.02677083333333333</v>
      </c>
      <c r="AS89" s="481">
        <v>660</v>
      </c>
      <c r="AT89" s="509" t="s">
        <v>383</v>
      </c>
      <c r="AU89" s="509" t="s">
        <v>172</v>
      </c>
      <c r="AV89" s="513">
        <v>0.02085648148148148</v>
      </c>
      <c r="AW89" s="481">
        <v>548.2382445141066</v>
      </c>
      <c r="AX89" s="509" t="s">
        <v>383</v>
      </c>
      <c r="AY89" s="509" t="s">
        <v>172</v>
      </c>
      <c r="AZ89" s="513">
        <v>0.03644675925925926</v>
      </c>
      <c r="BA89" s="481">
        <v>429.5814148179154</v>
      </c>
      <c r="BB89" s="509" t="s">
        <v>383</v>
      </c>
      <c r="BC89" s="509" t="s">
        <v>172</v>
      </c>
      <c r="BD89" s="513">
        <v>0.025104166666666664</v>
      </c>
      <c r="BE89" s="481">
        <v>617.257761053622</v>
      </c>
      <c r="BF89" s="499"/>
      <c r="BG89" s="499"/>
      <c r="BH89" s="526"/>
      <c r="BI89" s="481"/>
      <c r="BJ89" s="499"/>
      <c r="BK89" s="499"/>
      <c r="BL89" s="516"/>
      <c r="BM89" s="481"/>
      <c r="BN89" s="499"/>
      <c r="BO89" s="499"/>
      <c r="BP89" s="516"/>
      <c r="BQ89" s="481"/>
      <c r="BR89" s="499"/>
      <c r="BS89" s="499"/>
      <c r="BT89" s="516"/>
      <c r="BU89" s="481"/>
      <c r="BV89" s="499"/>
      <c r="BW89" s="499"/>
      <c r="BX89" s="516"/>
      <c r="BY89" s="481"/>
      <c r="BZ89" s="499"/>
      <c r="CA89" s="499"/>
      <c r="CB89" s="516"/>
      <c r="CC89" s="481"/>
      <c r="CD89" s="509" t="s">
        <v>652</v>
      </c>
      <c r="CE89" s="509" t="s">
        <v>158</v>
      </c>
      <c r="CF89" s="513">
        <v>0.05101851851851852</v>
      </c>
      <c r="CG89" s="481">
        <v>481.6401621453072</v>
      </c>
      <c r="CH89" s="499"/>
      <c r="CI89" s="499"/>
      <c r="CJ89" s="526"/>
      <c r="CK89" s="481"/>
      <c r="CL89" s="499"/>
      <c r="CM89" s="499"/>
      <c r="CN89" s="526"/>
      <c r="CO89" s="481"/>
      <c r="CP89" s="499"/>
      <c r="CQ89" s="499"/>
      <c r="CR89" s="516"/>
      <c r="CS89" s="481"/>
      <c r="CT89" s="499"/>
      <c r="CU89" s="499"/>
      <c r="CV89" s="516"/>
      <c r="CW89" s="481"/>
      <c r="CX89" s="499"/>
      <c r="CY89" s="499"/>
      <c r="CZ89" s="526"/>
      <c r="DA89" s="481"/>
      <c r="DB89" s="509"/>
      <c r="DC89" s="509"/>
      <c r="DD89" s="520"/>
      <c r="DE89" s="515"/>
    </row>
    <row r="90" spans="1:109" ht="12.75">
      <c r="A90" s="504">
        <v>76</v>
      </c>
      <c r="B90" s="522" t="s">
        <v>748</v>
      </c>
      <c r="C90" s="371" t="s">
        <v>10</v>
      </c>
      <c r="F90" s="548"/>
      <c r="G90" s="506">
        <f t="shared" si="2"/>
        <v>3063.571330436632</v>
      </c>
      <c r="H90" s="507">
        <f t="shared" si="3"/>
        <v>3063.571330436632</v>
      </c>
      <c r="I90" s="508">
        <v>4</v>
      </c>
      <c r="J90" s="524"/>
      <c r="K90" s="499"/>
      <c r="M90" s="491"/>
      <c r="N90" s="524"/>
      <c r="O90" s="499"/>
      <c r="Q90" s="491"/>
      <c r="R90" s="524"/>
      <c r="S90" s="499"/>
      <c r="U90" s="491"/>
      <c r="V90" s="524"/>
      <c r="W90" s="499"/>
      <c r="Y90" s="491"/>
      <c r="Z90" s="524"/>
      <c r="AA90" s="499"/>
      <c r="AC90" s="491"/>
      <c r="AD90" s="524"/>
      <c r="AE90" s="524"/>
      <c r="AG90" s="491"/>
      <c r="AH90" s="524"/>
      <c r="AI90" s="524"/>
      <c r="AK90" s="491"/>
      <c r="AL90" s="524"/>
      <c r="AM90" s="524"/>
      <c r="AO90" s="491"/>
      <c r="AP90" s="541"/>
      <c r="AQ90" s="509"/>
      <c r="AS90" s="502"/>
      <c r="AT90" s="509"/>
      <c r="AU90" s="509"/>
      <c r="AW90" s="502"/>
      <c r="AX90" s="509"/>
      <c r="AY90" s="509"/>
      <c r="BA90" s="502"/>
      <c r="BB90" s="509"/>
      <c r="BC90" s="509"/>
      <c r="BE90" s="502"/>
      <c r="BF90" s="509" t="s">
        <v>742</v>
      </c>
      <c r="BG90" s="509" t="s">
        <v>2</v>
      </c>
      <c r="BH90" s="513">
        <v>0.029687500000000002</v>
      </c>
      <c r="BI90" s="481">
        <v>780.8383233532933</v>
      </c>
      <c r="BJ90" s="509" t="s">
        <v>742</v>
      </c>
      <c r="BK90" s="509" t="s">
        <v>2</v>
      </c>
      <c r="BL90" s="513">
        <v>0.011898148148148149</v>
      </c>
      <c r="BM90" s="481">
        <v>792.1414538310412</v>
      </c>
      <c r="BN90" s="509" t="s">
        <v>742</v>
      </c>
      <c r="BO90" s="509" t="s">
        <v>2</v>
      </c>
      <c r="BP90" s="513">
        <v>0.054502314814814816</v>
      </c>
      <c r="BQ90" s="481">
        <v>782.1102909248806</v>
      </c>
      <c r="BR90" s="509" t="s">
        <v>742</v>
      </c>
      <c r="BS90" s="509" t="s">
        <v>2</v>
      </c>
      <c r="BT90" s="513">
        <v>0.03923611111111111</v>
      </c>
      <c r="BU90" s="481">
        <v>708.4812623274163</v>
      </c>
      <c r="BV90" s="499"/>
      <c r="BW90" s="499"/>
      <c r="BX90" s="498"/>
      <c r="BY90" s="481"/>
      <c r="BZ90" s="499"/>
      <c r="CA90" s="499"/>
      <c r="CB90" s="498"/>
      <c r="CC90" s="481"/>
      <c r="CD90" s="499"/>
      <c r="CE90" s="499"/>
      <c r="CF90" s="516"/>
      <c r="CG90" s="481"/>
      <c r="CH90" s="499"/>
      <c r="CI90" s="499"/>
      <c r="CJ90" s="516"/>
      <c r="CK90" s="481"/>
      <c r="CL90" s="499"/>
      <c r="CM90" s="499"/>
      <c r="CN90" s="516"/>
      <c r="CO90" s="481"/>
      <c r="CP90" s="499"/>
      <c r="CQ90" s="499"/>
      <c r="CR90" s="520"/>
      <c r="CS90" s="515"/>
      <c r="CT90" s="509"/>
      <c r="CU90" s="509"/>
      <c r="CV90" s="520"/>
      <c r="CW90" s="515"/>
      <c r="CX90" s="499"/>
      <c r="CY90" s="499"/>
      <c r="CZ90" s="516"/>
      <c r="DA90" s="481"/>
      <c r="DB90" s="509"/>
      <c r="DC90" s="509"/>
      <c r="DD90" s="520"/>
      <c r="DE90" s="515"/>
    </row>
    <row r="91" spans="1:109" ht="12.75">
      <c r="A91" s="504">
        <v>77</v>
      </c>
      <c r="B91" s="522" t="s">
        <v>496</v>
      </c>
      <c r="C91" s="371" t="s">
        <v>470</v>
      </c>
      <c r="D91" s="371" t="s">
        <v>471</v>
      </c>
      <c r="F91" s="548"/>
      <c r="G91" s="506">
        <f t="shared" si="2"/>
        <v>3050.850940778258</v>
      </c>
      <c r="H91" s="507">
        <f t="shared" si="3"/>
        <v>3050.850940778258</v>
      </c>
      <c r="I91" s="508">
        <v>3</v>
      </c>
      <c r="J91" s="524"/>
      <c r="K91" s="499"/>
      <c r="M91" s="491"/>
      <c r="N91" s="524"/>
      <c r="O91" s="499"/>
      <c r="P91" s="516"/>
      <c r="Q91" s="481"/>
      <c r="R91" s="524"/>
      <c r="S91" s="499"/>
      <c r="T91" s="516"/>
      <c r="U91" s="481"/>
      <c r="V91" s="524"/>
      <c r="W91" s="499"/>
      <c r="X91" s="516"/>
      <c r="Y91" s="481"/>
      <c r="Z91" s="509" t="s">
        <v>443</v>
      </c>
      <c r="AA91" s="509" t="s">
        <v>1</v>
      </c>
      <c r="AB91" s="520">
        <v>0.014039351851851851</v>
      </c>
      <c r="AC91" s="481">
        <v>1012.339880444065</v>
      </c>
      <c r="AD91" s="509" t="s">
        <v>443</v>
      </c>
      <c r="AE91" s="509" t="s">
        <v>1</v>
      </c>
      <c r="AF91" s="520">
        <v>0.06406250000000001</v>
      </c>
      <c r="AG91" s="481">
        <v>1009.2060810810809</v>
      </c>
      <c r="AH91" s="509" t="s">
        <v>443</v>
      </c>
      <c r="AI91" s="509" t="s">
        <v>1</v>
      </c>
      <c r="AJ91" s="520">
        <v>0.045509259259259256</v>
      </c>
      <c r="AK91" s="481">
        <v>1029.3049792531122</v>
      </c>
      <c r="AL91" s="524"/>
      <c r="AM91" s="524"/>
      <c r="AN91" s="516"/>
      <c r="AO91" s="481"/>
      <c r="AP91" s="524"/>
      <c r="AQ91" s="498"/>
      <c r="AR91" s="516"/>
      <c r="AS91" s="481"/>
      <c r="AT91" s="499"/>
      <c r="AU91" s="499"/>
      <c r="AV91" s="516"/>
      <c r="AW91" s="481"/>
      <c r="AX91" s="499"/>
      <c r="AY91" s="499"/>
      <c r="AZ91" s="516"/>
      <c r="BA91" s="481"/>
      <c r="BB91" s="499"/>
      <c r="BC91" s="499"/>
      <c r="BD91" s="516"/>
      <c r="BE91" s="481"/>
      <c r="BF91" s="499"/>
      <c r="BG91" s="499"/>
      <c r="BH91" s="526"/>
      <c r="BI91" s="481"/>
      <c r="BJ91" s="499"/>
      <c r="BK91" s="499"/>
      <c r="BL91" s="516"/>
      <c r="BM91" s="491"/>
      <c r="BN91" s="499"/>
      <c r="BO91" s="499"/>
      <c r="BP91" s="516"/>
      <c r="BQ91" s="481"/>
      <c r="BR91" s="499"/>
      <c r="BS91" s="499"/>
      <c r="BT91" s="516"/>
      <c r="BU91" s="481"/>
      <c r="BV91" s="499"/>
      <c r="BW91" s="499"/>
      <c r="BX91" s="516"/>
      <c r="BY91" s="481"/>
      <c r="BZ91" s="499"/>
      <c r="CA91" s="499"/>
      <c r="CB91" s="516"/>
      <c r="CC91" s="481"/>
      <c r="CD91" s="499"/>
      <c r="CE91" s="499"/>
      <c r="CF91" s="526"/>
      <c r="CG91" s="481"/>
      <c r="CH91" s="499"/>
      <c r="CI91" s="499"/>
      <c r="CJ91" s="526"/>
      <c r="CK91" s="481"/>
      <c r="CL91" s="499"/>
      <c r="CM91" s="499"/>
      <c r="CN91" s="526"/>
      <c r="CO91" s="481"/>
      <c r="CP91" s="499"/>
      <c r="CQ91" s="499"/>
      <c r="CR91" s="526"/>
      <c r="CS91" s="481"/>
      <c r="CT91" s="499"/>
      <c r="CU91" s="499"/>
      <c r="CV91" s="526"/>
      <c r="CW91" s="481"/>
      <c r="CX91" s="499"/>
      <c r="CY91" s="499"/>
      <c r="CZ91" s="526"/>
      <c r="DA91" s="481"/>
      <c r="DB91" s="499"/>
      <c r="DC91" s="499"/>
      <c r="DD91" s="516"/>
      <c r="DE91" s="481"/>
    </row>
    <row r="92" spans="1:109" ht="12.75">
      <c r="A92" s="504">
        <v>78</v>
      </c>
      <c r="B92" s="505" t="s">
        <v>327</v>
      </c>
      <c r="C92" s="371" t="s">
        <v>10</v>
      </c>
      <c r="D92" s="371" t="s">
        <v>163</v>
      </c>
      <c r="E92" s="495" t="s">
        <v>360</v>
      </c>
      <c r="F92" s="190">
        <v>1972</v>
      </c>
      <c r="G92" s="506">
        <f t="shared" si="2"/>
        <v>3013.7050515294477</v>
      </c>
      <c r="H92" s="507">
        <f t="shared" si="3"/>
        <v>3013.7050515294477</v>
      </c>
      <c r="I92" s="508">
        <v>6</v>
      </c>
      <c r="J92" s="524"/>
      <c r="K92" s="499"/>
      <c r="L92" s="526"/>
      <c r="M92" s="481"/>
      <c r="N92" s="524"/>
      <c r="O92" s="499"/>
      <c r="P92" s="516"/>
      <c r="Q92" s="481"/>
      <c r="R92" s="524"/>
      <c r="S92" s="499"/>
      <c r="T92" s="516"/>
      <c r="U92" s="481"/>
      <c r="V92" s="524"/>
      <c r="W92" s="499"/>
      <c r="X92" s="516"/>
      <c r="Y92" s="481"/>
      <c r="Z92" s="509"/>
      <c r="AA92" s="509"/>
      <c r="AB92" s="513"/>
      <c r="AC92" s="481"/>
      <c r="AD92" s="509"/>
      <c r="AE92" s="509"/>
      <c r="AF92" s="513"/>
      <c r="AG92" s="481"/>
      <c r="AH92" s="509"/>
      <c r="AI92" s="509"/>
      <c r="AJ92" s="513"/>
      <c r="AK92" s="481"/>
      <c r="AL92" s="509" t="s">
        <v>372</v>
      </c>
      <c r="AM92" s="509" t="s">
        <v>158</v>
      </c>
      <c r="AN92" s="513">
        <v>0.08293981481481481</v>
      </c>
      <c r="AO92" s="481">
        <v>651.5310247846722</v>
      </c>
      <c r="AP92" s="509"/>
      <c r="AQ92" s="509"/>
      <c r="AR92" s="509"/>
      <c r="AS92" s="481"/>
      <c r="AT92" s="499"/>
      <c r="AU92" s="499"/>
      <c r="AV92" s="516"/>
      <c r="AW92" s="481"/>
      <c r="AX92" s="499"/>
      <c r="AY92" s="499"/>
      <c r="AZ92" s="516"/>
      <c r="BA92" s="481"/>
      <c r="BB92" s="499"/>
      <c r="BC92" s="499"/>
      <c r="BD92" s="516"/>
      <c r="BE92" s="481"/>
      <c r="BF92" s="509" t="s">
        <v>741</v>
      </c>
      <c r="BG92" s="509" t="s">
        <v>158</v>
      </c>
      <c r="BH92" s="513">
        <v>0.029826388888888892</v>
      </c>
      <c r="BI92" s="481">
        <v>555.0819672131146</v>
      </c>
      <c r="BJ92" s="509" t="s">
        <v>741</v>
      </c>
      <c r="BK92" s="509" t="s">
        <v>158</v>
      </c>
      <c r="BL92" s="509" t="s">
        <v>358</v>
      </c>
      <c r="BM92" s="481">
        <v>0</v>
      </c>
      <c r="BN92" s="509" t="s">
        <v>741</v>
      </c>
      <c r="BO92" s="509" t="s">
        <v>158</v>
      </c>
      <c r="BP92" s="513">
        <v>0.04675925925925926</v>
      </c>
      <c r="BQ92" s="481">
        <v>483.30632090761753</v>
      </c>
      <c r="BR92" s="509"/>
      <c r="BS92" s="509"/>
      <c r="BT92" s="509"/>
      <c r="BU92" s="481"/>
      <c r="BV92" s="499"/>
      <c r="BW92" s="499"/>
      <c r="BX92" s="526"/>
      <c r="BY92" s="481"/>
      <c r="BZ92" s="499"/>
      <c r="CA92" s="499"/>
      <c r="CB92" s="526"/>
      <c r="CC92" s="481"/>
      <c r="CD92" s="499"/>
      <c r="CE92" s="499"/>
      <c r="CF92" s="516"/>
      <c r="CG92" s="481"/>
      <c r="CH92" s="499"/>
      <c r="CI92" s="499"/>
      <c r="CJ92" s="516"/>
      <c r="CK92" s="481"/>
      <c r="CL92" s="499"/>
      <c r="CM92" s="499"/>
      <c r="CN92" s="516"/>
      <c r="CO92" s="481"/>
      <c r="CP92" s="499"/>
      <c r="CQ92" s="499"/>
      <c r="CR92" s="526"/>
      <c r="CS92" s="481"/>
      <c r="CT92" s="499"/>
      <c r="CU92" s="499"/>
      <c r="CV92" s="526"/>
      <c r="CW92" s="481"/>
      <c r="CX92" s="499" t="s">
        <v>396</v>
      </c>
      <c r="CY92" s="499" t="s">
        <v>2</v>
      </c>
      <c r="CZ92" s="526">
        <v>0.05752314814814815</v>
      </c>
      <c r="DA92" s="481">
        <v>613.8888888888889</v>
      </c>
      <c r="DB92" s="499" t="s">
        <v>396</v>
      </c>
      <c r="DC92" s="499" t="s">
        <v>2</v>
      </c>
      <c r="DD92" s="526">
        <v>0.04619212962962963</v>
      </c>
      <c r="DE92" s="481">
        <v>709.8968497351545</v>
      </c>
    </row>
    <row r="93" spans="1:111" ht="12.75">
      <c r="A93" s="504">
        <v>79</v>
      </c>
      <c r="B93" s="522" t="s">
        <v>502</v>
      </c>
      <c r="C93" s="371" t="s">
        <v>470</v>
      </c>
      <c r="D93" s="371" t="s">
        <v>471</v>
      </c>
      <c r="F93" s="548"/>
      <c r="G93" s="506">
        <f t="shared" si="2"/>
        <v>2988.1853165077973</v>
      </c>
      <c r="H93" s="507">
        <f t="shared" si="3"/>
        <v>2988.1853165077973</v>
      </c>
      <c r="I93" s="508">
        <v>3</v>
      </c>
      <c r="J93" s="524"/>
      <c r="K93" s="499"/>
      <c r="M93" s="491"/>
      <c r="N93" s="524"/>
      <c r="O93" s="499"/>
      <c r="P93" s="516"/>
      <c r="Q93" s="481"/>
      <c r="R93" s="524"/>
      <c r="S93" s="499"/>
      <c r="T93" s="516"/>
      <c r="U93" s="481"/>
      <c r="V93" s="524"/>
      <c r="W93" s="499"/>
      <c r="X93" s="516"/>
      <c r="Y93" s="481"/>
      <c r="Z93" s="509" t="s">
        <v>443</v>
      </c>
      <c r="AA93" s="509" t="s">
        <v>1</v>
      </c>
      <c r="AB93" s="520">
        <v>0.015196759259259259</v>
      </c>
      <c r="AC93" s="481">
        <v>922.6729291204099</v>
      </c>
      <c r="AD93" s="509" t="s">
        <v>443</v>
      </c>
      <c r="AE93" s="509" t="s">
        <v>1</v>
      </c>
      <c r="AF93" s="520">
        <v>0.06369212962962963</v>
      </c>
      <c r="AG93" s="481">
        <v>1015.5123873873875</v>
      </c>
      <c r="AH93" s="509" t="s">
        <v>443</v>
      </c>
      <c r="AI93" s="509" t="s">
        <v>1</v>
      </c>
      <c r="AJ93" s="520">
        <v>0.04462962962962963</v>
      </c>
      <c r="AK93" s="481">
        <v>1050</v>
      </c>
      <c r="AL93" s="524"/>
      <c r="AM93" s="537"/>
      <c r="AN93" s="526"/>
      <c r="AO93" s="481"/>
      <c r="AP93" s="524"/>
      <c r="AQ93" s="524"/>
      <c r="AR93" s="535"/>
      <c r="AS93" s="481"/>
      <c r="AT93" s="524"/>
      <c r="AU93" s="524"/>
      <c r="AV93" s="526"/>
      <c r="AW93" s="481"/>
      <c r="AX93" s="524"/>
      <c r="AY93" s="524"/>
      <c r="AZ93" s="516"/>
      <c r="BA93" s="481"/>
      <c r="BB93" s="524"/>
      <c r="BC93" s="524"/>
      <c r="BD93" s="516"/>
      <c r="BE93" s="481"/>
      <c r="BF93" s="499"/>
      <c r="BG93" s="499"/>
      <c r="BH93" s="498"/>
      <c r="BI93" s="481"/>
      <c r="BJ93" s="499"/>
      <c r="BK93" s="499"/>
      <c r="BL93" s="498"/>
      <c r="BM93" s="491"/>
      <c r="BN93" s="499"/>
      <c r="BO93" s="499"/>
      <c r="BP93" s="498"/>
      <c r="BQ93" s="481"/>
      <c r="BR93" s="499"/>
      <c r="BS93" s="499"/>
      <c r="BT93" s="498"/>
      <c r="BU93" s="481"/>
      <c r="BV93" s="499"/>
      <c r="BW93" s="499"/>
      <c r="BX93" s="516"/>
      <c r="BY93" s="481"/>
      <c r="BZ93" s="499"/>
      <c r="CA93" s="499"/>
      <c r="CB93" s="516"/>
      <c r="CC93" s="481"/>
      <c r="CD93" s="499"/>
      <c r="CE93" s="499"/>
      <c r="CF93" s="516"/>
      <c r="CG93" s="481"/>
      <c r="CH93" s="499"/>
      <c r="CI93" s="499"/>
      <c r="CJ93" s="516"/>
      <c r="CK93" s="481"/>
      <c r="CL93" s="499"/>
      <c r="CM93" s="499"/>
      <c r="CN93" s="516"/>
      <c r="CO93" s="481"/>
      <c r="CP93" s="499"/>
      <c r="CQ93" s="499"/>
      <c r="CR93" s="526"/>
      <c r="CS93" s="481"/>
      <c r="CT93" s="499"/>
      <c r="CU93" s="499"/>
      <c r="CV93" s="526"/>
      <c r="CW93" s="481"/>
      <c r="CX93" s="499"/>
      <c r="CY93" s="499"/>
      <c r="CZ93" s="516"/>
      <c r="DA93" s="481"/>
      <c r="DB93" s="499"/>
      <c r="DC93" s="499"/>
      <c r="DD93" s="526"/>
      <c r="DE93" s="481"/>
      <c r="DF93" s="494"/>
      <c r="DG93" s="494"/>
    </row>
    <row r="94" spans="1:109" ht="12.75">
      <c r="A94" s="504">
        <v>80</v>
      </c>
      <c r="B94" s="522" t="s">
        <v>506</v>
      </c>
      <c r="C94" s="371" t="s">
        <v>473</v>
      </c>
      <c r="D94" s="371" t="s">
        <v>474</v>
      </c>
      <c r="F94" s="548"/>
      <c r="G94" s="506">
        <f t="shared" si="2"/>
        <v>2956.537589610528</v>
      </c>
      <c r="H94" s="507">
        <f t="shared" si="3"/>
        <v>2956.537589610528</v>
      </c>
      <c r="I94" s="508">
        <v>3</v>
      </c>
      <c r="J94" s="524"/>
      <c r="K94" s="499"/>
      <c r="M94" s="491"/>
      <c r="N94" s="524"/>
      <c r="O94" s="499"/>
      <c r="P94" s="516"/>
      <c r="Q94" s="481"/>
      <c r="R94" s="524"/>
      <c r="S94" s="499"/>
      <c r="T94" s="516"/>
      <c r="U94" s="481"/>
      <c r="V94" s="524"/>
      <c r="W94" s="499"/>
      <c r="X94" s="516"/>
      <c r="Y94" s="481"/>
      <c r="Z94" s="509" t="s">
        <v>443</v>
      </c>
      <c r="AA94" s="509" t="s">
        <v>1</v>
      </c>
      <c r="AB94" s="520">
        <v>0.01537037037037037</v>
      </c>
      <c r="AC94" s="481">
        <v>909.2228864218619</v>
      </c>
      <c r="AD94" s="509" t="s">
        <v>443</v>
      </c>
      <c r="AE94" s="509" t="s">
        <v>1</v>
      </c>
      <c r="AF94" s="520">
        <v>0.0636574074074074</v>
      </c>
      <c r="AG94" s="481">
        <v>1016.1036036036038</v>
      </c>
      <c r="AH94" s="509" t="s">
        <v>443</v>
      </c>
      <c r="AI94" s="509" t="s">
        <v>1</v>
      </c>
      <c r="AJ94" s="520">
        <v>0.045428240740740734</v>
      </c>
      <c r="AK94" s="481">
        <v>1031.2110995850624</v>
      </c>
      <c r="AL94" s="524"/>
      <c r="AM94" s="537"/>
      <c r="AN94" s="526"/>
      <c r="AO94" s="481"/>
      <c r="AP94" s="524"/>
      <c r="AQ94" s="524"/>
      <c r="AR94" s="516"/>
      <c r="AS94" s="481"/>
      <c r="AT94" s="499"/>
      <c r="AU94" s="499"/>
      <c r="AV94" s="526"/>
      <c r="AW94" s="481"/>
      <c r="AX94" s="499"/>
      <c r="AY94" s="499"/>
      <c r="AZ94" s="526"/>
      <c r="BA94" s="481"/>
      <c r="BB94" s="499"/>
      <c r="BC94" s="499"/>
      <c r="BD94" s="516"/>
      <c r="BE94" s="481"/>
      <c r="BF94" s="499"/>
      <c r="BG94" s="499"/>
      <c r="BH94" s="516"/>
      <c r="BI94" s="481"/>
      <c r="BJ94" s="499"/>
      <c r="BK94" s="499"/>
      <c r="BL94" s="498"/>
      <c r="BM94" s="481"/>
      <c r="BN94" s="499"/>
      <c r="BO94" s="499"/>
      <c r="BP94" s="526"/>
      <c r="BQ94" s="481"/>
      <c r="BR94" s="499"/>
      <c r="BS94" s="499"/>
      <c r="BT94" s="526"/>
      <c r="BU94" s="481"/>
      <c r="BV94" s="499"/>
      <c r="BW94" s="499"/>
      <c r="BX94" s="516"/>
      <c r="BY94" s="481"/>
      <c r="BZ94" s="499"/>
      <c r="CA94" s="499"/>
      <c r="CB94" s="526"/>
      <c r="CC94" s="481"/>
      <c r="CD94" s="499"/>
      <c r="CE94" s="499"/>
      <c r="CF94" s="516"/>
      <c r="CG94" s="481"/>
      <c r="CH94" s="499"/>
      <c r="CI94" s="499"/>
      <c r="CJ94" s="516"/>
      <c r="CK94" s="481"/>
      <c r="CL94" s="499"/>
      <c r="CM94" s="499"/>
      <c r="CN94" s="516"/>
      <c r="CO94" s="481"/>
      <c r="CP94" s="499"/>
      <c r="CQ94" s="499"/>
      <c r="CR94" s="526"/>
      <c r="CS94" s="481"/>
      <c r="CT94" s="499"/>
      <c r="CU94" s="499"/>
      <c r="CV94" s="526"/>
      <c r="CW94" s="481"/>
      <c r="CX94" s="499"/>
      <c r="CY94" s="499"/>
      <c r="CZ94" s="526"/>
      <c r="DA94" s="481"/>
      <c r="DB94" s="499"/>
      <c r="DC94" s="499"/>
      <c r="DD94" s="526"/>
      <c r="DE94" s="481"/>
    </row>
    <row r="95" spans="1:109" ht="12.75">
      <c r="A95" s="504">
        <v>81</v>
      </c>
      <c r="B95" s="522" t="s">
        <v>503</v>
      </c>
      <c r="C95" s="371" t="s">
        <v>473</v>
      </c>
      <c r="D95" s="371" t="s">
        <v>474</v>
      </c>
      <c r="G95" s="506">
        <f t="shared" si="2"/>
        <v>2836.1863258158605</v>
      </c>
      <c r="H95" s="507">
        <f t="shared" si="3"/>
        <v>2836.1863258158605</v>
      </c>
      <c r="I95" s="508">
        <v>3</v>
      </c>
      <c r="J95" s="524"/>
      <c r="K95" s="499"/>
      <c r="M95" s="491"/>
      <c r="N95" s="524"/>
      <c r="O95" s="499"/>
      <c r="P95" s="516"/>
      <c r="Q95" s="481"/>
      <c r="R95" s="524"/>
      <c r="S95" s="499"/>
      <c r="T95" s="516"/>
      <c r="U95" s="481"/>
      <c r="V95" s="524"/>
      <c r="W95" s="499"/>
      <c r="X95" s="516"/>
      <c r="Y95" s="481"/>
      <c r="Z95" s="509" t="s">
        <v>443</v>
      </c>
      <c r="AA95" s="509" t="s">
        <v>1</v>
      </c>
      <c r="AB95" s="520">
        <v>0.015196759259259259</v>
      </c>
      <c r="AC95" s="481">
        <v>922.6729291204099</v>
      </c>
      <c r="AD95" s="509" t="s">
        <v>443</v>
      </c>
      <c r="AE95" s="509" t="s">
        <v>1</v>
      </c>
      <c r="AF95" s="520">
        <v>0.06778935185185185</v>
      </c>
      <c r="AG95" s="481">
        <v>945.7488738738739</v>
      </c>
      <c r="AH95" s="509" t="s">
        <v>443</v>
      </c>
      <c r="AI95" s="509" t="s">
        <v>1</v>
      </c>
      <c r="AJ95" s="520">
        <v>0.048125</v>
      </c>
      <c r="AK95" s="481">
        <v>967.7645228215769</v>
      </c>
      <c r="AL95" s="524"/>
      <c r="AM95" s="524"/>
      <c r="AN95" s="516"/>
      <c r="AO95" s="481"/>
      <c r="AP95" s="524"/>
      <c r="AQ95" s="498"/>
      <c r="AR95" s="516"/>
      <c r="AS95" s="481"/>
      <c r="AT95" s="524"/>
      <c r="AU95" s="524"/>
      <c r="AV95" s="516"/>
      <c r="AW95" s="481"/>
      <c r="AX95" s="524"/>
      <c r="AY95" s="524"/>
      <c r="AZ95" s="526"/>
      <c r="BA95" s="481"/>
      <c r="BB95" s="524"/>
      <c r="BC95" s="524"/>
      <c r="BD95" s="516"/>
      <c r="BE95" s="481"/>
      <c r="BF95" s="499"/>
      <c r="BG95" s="499"/>
      <c r="BH95" s="526"/>
      <c r="BI95" s="481"/>
      <c r="BJ95" s="499"/>
      <c r="BK95" s="499"/>
      <c r="BL95" s="516"/>
      <c r="BM95" s="491"/>
      <c r="BN95" s="499"/>
      <c r="BO95" s="499"/>
      <c r="BP95" s="526"/>
      <c r="BQ95" s="481"/>
      <c r="BR95" s="499"/>
      <c r="BS95" s="499"/>
      <c r="BT95" s="526"/>
      <c r="BU95" s="481"/>
      <c r="BV95" s="499"/>
      <c r="BW95" s="499"/>
      <c r="BX95" s="516"/>
      <c r="BY95" s="481"/>
      <c r="BZ95" s="499"/>
      <c r="CA95" s="499"/>
      <c r="CB95" s="516"/>
      <c r="CC95" s="481"/>
      <c r="CD95" s="499"/>
      <c r="CE95" s="499"/>
      <c r="CF95" s="516"/>
      <c r="CG95" s="481"/>
      <c r="CH95" s="499"/>
      <c r="CI95" s="499"/>
      <c r="CJ95" s="526"/>
      <c r="CK95" s="481"/>
      <c r="CL95" s="499"/>
      <c r="CM95" s="499"/>
      <c r="CN95" s="526"/>
      <c r="CO95" s="481"/>
      <c r="CP95" s="499"/>
      <c r="CQ95" s="499"/>
      <c r="CR95" s="516"/>
      <c r="CS95" s="481"/>
      <c r="CT95" s="499"/>
      <c r="CU95" s="499"/>
      <c r="CV95" s="516"/>
      <c r="CW95" s="481"/>
      <c r="CX95" s="499"/>
      <c r="CY95" s="499"/>
      <c r="CZ95" s="516"/>
      <c r="DA95" s="481"/>
      <c r="DB95" s="499"/>
      <c r="DC95" s="499"/>
      <c r="DD95" s="516"/>
      <c r="DE95" s="481"/>
    </row>
    <row r="96" spans="1:109" ht="12.75">
      <c r="A96" s="504">
        <v>82</v>
      </c>
      <c r="B96" s="522" t="s">
        <v>500</v>
      </c>
      <c r="C96" s="371" t="s">
        <v>481</v>
      </c>
      <c r="D96" s="371" t="s">
        <v>482</v>
      </c>
      <c r="F96" s="548"/>
      <c r="G96" s="506">
        <f t="shared" si="2"/>
        <v>2821.129918533258</v>
      </c>
      <c r="H96" s="507">
        <f t="shared" si="3"/>
        <v>2821.129918533258</v>
      </c>
      <c r="I96" s="508">
        <v>3</v>
      </c>
      <c r="J96" s="524"/>
      <c r="K96" s="499"/>
      <c r="M96" s="491"/>
      <c r="N96" s="524"/>
      <c r="O96" s="499"/>
      <c r="P96" s="516"/>
      <c r="Q96" s="481"/>
      <c r="R96" s="524"/>
      <c r="S96" s="499"/>
      <c r="T96" s="516"/>
      <c r="U96" s="481"/>
      <c r="V96" s="524"/>
      <c r="W96" s="499"/>
      <c r="X96" s="516"/>
      <c r="Y96" s="481"/>
      <c r="Z96" s="509" t="s">
        <v>443</v>
      </c>
      <c r="AA96" s="509" t="s">
        <v>1</v>
      </c>
      <c r="AB96" s="520">
        <v>0.015057870370370369</v>
      </c>
      <c r="AC96" s="481">
        <v>933.4329632792486</v>
      </c>
      <c r="AD96" s="509" t="s">
        <v>443</v>
      </c>
      <c r="AE96" s="509" t="s">
        <v>1</v>
      </c>
      <c r="AF96" s="520">
        <v>0.06930555555555555</v>
      </c>
      <c r="AG96" s="481">
        <v>919.9324324324326</v>
      </c>
      <c r="AH96" s="509" t="s">
        <v>443</v>
      </c>
      <c r="AI96" s="509" t="s">
        <v>1</v>
      </c>
      <c r="AJ96" s="520">
        <v>0.048125</v>
      </c>
      <c r="AK96" s="481">
        <v>967.7645228215769</v>
      </c>
      <c r="AL96" s="524"/>
      <c r="AM96" s="524"/>
      <c r="AN96" s="516"/>
      <c r="AO96" s="481"/>
      <c r="AP96" s="524"/>
      <c r="AQ96" s="524"/>
      <c r="AR96" s="526"/>
      <c r="AS96" s="481"/>
      <c r="AT96" s="499"/>
      <c r="AU96" s="499"/>
      <c r="AV96" s="526"/>
      <c r="AW96" s="481"/>
      <c r="AX96" s="499"/>
      <c r="AY96" s="499"/>
      <c r="AZ96" s="526"/>
      <c r="BA96" s="481"/>
      <c r="BB96" s="499"/>
      <c r="BC96" s="499"/>
      <c r="BD96" s="516"/>
      <c r="BE96" s="481"/>
      <c r="BF96" s="499"/>
      <c r="BG96" s="499"/>
      <c r="BH96" s="498"/>
      <c r="BI96" s="481"/>
      <c r="BJ96" s="499"/>
      <c r="BK96" s="499"/>
      <c r="BL96" s="516"/>
      <c r="BM96" s="481"/>
      <c r="BN96" s="499"/>
      <c r="BO96" s="499"/>
      <c r="BP96" s="526"/>
      <c r="BQ96" s="481"/>
      <c r="BR96" s="499"/>
      <c r="BS96" s="499"/>
      <c r="BT96" s="516"/>
      <c r="BU96" s="481"/>
      <c r="BV96" s="499"/>
      <c r="BW96" s="499"/>
      <c r="BX96" s="526"/>
      <c r="BY96" s="481"/>
      <c r="BZ96" s="499"/>
      <c r="CA96" s="499"/>
      <c r="CB96" s="526"/>
      <c r="CC96" s="481"/>
      <c r="CD96" s="499"/>
      <c r="CE96" s="499"/>
      <c r="CF96" s="516"/>
      <c r="CG96" s="481"/>
      <c r="CH96" s="499"/>
      <c r="CI96" s="499"/>
      <c r="CJ96" s="526"/>
      <c r="CK96" s="481"/>
      <c r="CL96" s="499"/>
      <c r="CM96" s="499"/>
      <c r="CN96" s="526"/>
      <c r="CO96" s="481"/>
      <c r="CP96" s="499"/>
      <c r="CQ96" s="499"/>
      <c r="CR96" s="526"/>
      <c r="CS96" s="481"/>
      <c r="CT96" s="499"/>
      <c r="CU96" s="499"/>
      <c r="CV96" s="526"/>
      <c r="CW96" s="481"/>
      <c r="CX96" s="499"/>
      <c r="CY96" s="499"/>
      <c r="CZ96" s="526"/>
      <c r="DA96" s="481"/>
      <c r="DB96" s="499"/>
      <c r="DC96" s="499"/>
      <c r="DD96" s="516"/>
      <c r="DE96" s="481"/>
    </row>
    <row r="97" spans="1:109" ht="12.75">
      <c r="A97" s="504">
        <v>83</v>
      </c>
      <c r="B97" s="505" t="s">
        <v>36</v>
      </c>
      <c r="C97" s="371" t="s">
        <v>10</v>
      </c>
      <c r="D97" s="371" t="s">
        <v>37</v>
      </c>
      <c r="E97" s="495" t="s">
        <v>375</v>
      </c>
      <c r="F97" s="548">
        <v>1962</v>
      </c>
      <c r="G97" s="506">
        <f>H97-AG97-BQ97-DA97</f>
        <v>2809.0246194058445</v>
      </c>
      <c r="H97" s="507">
        <f t="shared" si="3"/>
        <v>2829.235316326428</v>
      </c>
      <c r="I97" s="508">
        <v>15</v>
      </c>
      <c r="J97" s="524" t="s">
        <v>572</v>
      </c>
      <c r="K97" s="499" t="s">
        <v>2</v>
      </c>
      <c r="L97" s="516">
        <v>0.047858796296296295</v>
      </c>
      <c r="M97" s="481">
        <v>439.2982456140352</v>
      </c>
      <c r="N97" s="524"/>
      <c r="O97" s="499"/>
      <c r="Q97" s="491"/>
      <c r="R97" s="524"/>
      <c r="S97" s="499"/>
      <c r="T97" s="516"/>
      <c r="U97" s="481"/>
      <c r="V97" s="524"/>
      <c r="W97" s="499"/>
      <c r="X97" s="516"/>
      <c r="Y97" s="481"/>
      <c r="Z97" s="524" t="s">
        <v>577</v>
      </c>
      <c r="AA97" s="499" t="s">
        <v>172</v>
      </c>
      <c r="AB97" s="516">
        <v>0.01693287037037037</v>
      </c>
      <c r="AC97" s="481">
        <v>326.05851063829806</v>
      </c>
      <c r="AD97" s="524" t="s">
        <v>577</v>
      </c>
      <c r="AE97" s="499" t="s">
        <v>172</v>
      </c>
      <c r="AF97" s="516" t="s">
        <v>358</v>
      </c>
      <c r="AG97" s="546">
        <v>0</v>
      </c>
      <c r="AH97" s="524" t="s">
        <v>577</v>
      </c>
      <c r="AI97" s="499" t="s">
        <v>172</v>
      </c>
      <c r="AJ97" s="516">
        <v>0.06091435185185185</v>
      </c>
      <c r="AK97" s="481">
        <v>28.753725782414143</v>
      </c>
      <c r="AL97" s="509" t="s">
        <v>651</v>
      </c>
      <c r="AM97" s="509" t="s">
        <v>172</v>
      </c>
      <c r="AN97" s="513">
        <v>0.08967592592592592</v>
      </c>
      <c r="AO97" s="481">
        <v>570.2405721716516</v>
      </c>
      <c r="AP97" s="509" t="s">
        <v>651</v>
      </c>
      <c r="AQ97" s="509" t="s">
        <v>158</v>
      </c>
      <c r="AR97" s="513">
        <v>0.03326388888888889</v>
      </c>
      <c r="AS97" s="481">
        <v>214.0683043738764</v>
      </c>
      <c r="AT97" s="524"/>
      <c r="AU97" s="524"/>
      <c r="AV97" s="516"/>
      <c r="AW97" s="481"/>
      <c r="AX97" s="524"/>
      <c r="AY97" s="524"/>
      <c r="AZ97" s="516"/>
      <c r="BA97" s="481"/>
      <c r="BB97" s="524"/>
      <c r="BC97" s="524"/>
      <c r="BD97" s="516"/>
      <c r="BE97" s="481"/>
      <c r="BF97" s="509" t="s">
        <v>743</v>
      </c>
      <c r="BG97" s="509" t="s">
        <v>158</v>
      </c>
      <c r="BH97" s="513">
        <v>0.044756944444444446</v>
      </c>
      <c r="BI97" s="481">
        <v>132.13114754098362</v>
      </c>
      <c r="BJ97" s="509" t="s">
        <v>743</v>
      </c>
      <c r="BK97" s="509" t="s">
        <v>158</v>
      </c>
      <c r="BL97" s="513">
        <v>0.018414351851851852</v>
      </c>
      <c r="BM97" s="481">
        <v>235.04184100418394</v>
      </c>
      <c r="BN97" s="509" t="s">
        <v>743</v>
      </c>
      <c r="BO97" s="509" t="s">
        <v>158</v>
      </c>
      <c r="BP97" s="513">
        <v>0.0708912037037037</v>
      </c>
      <c r="BQ97" s="546">
        <v>10.210696920583429</v>
      </c>
      <c r="BR97" s="509" t="s">
        <v>743</v>
      </c>
      <c r="BS97" s="509" t="s">
        <v>158</v>
      </c>
      <c r="BT97" s="513">
        <v>0.045625</v>
      </c>
      <c r="BU97" s="481">
        <v>81.60535117056844</v>
      </c>
      <c r="BV97" s="499"/>
      <c r="BW97" s="499"/>
      <c r="BX97" s="516"/>
      <c r="BY97" s="481"/>
      <c r="BZ97" s="499"/>
      <c r="CA97" s="499"/>
      <c r="CB97" s="516"/>
      <c r="CC97" s="481"/>
      <c r="CD97" s="509" t="s">
        <v>651</v>
      </c>
      <c r="CE97" s="509" t="s">
        <v>2</v>
      </c>
      <c r="CF97" s="513">
        <v>0.06054398148148148</v>
      </c>
      <c r="CG97" s="481">
        <v>263.485045513654</v>
      </c>
      <c r="CH97" s="499" t="s">
        <v>223</v>
      </c>
      <c r="CI97" s="499" t="s">
        <v>158</v>
      </c>
      <c r="CJ97" s="525">
        <v>0.016261574074074074</v>
      </c>
      <c r="CK97" s="481">
        <v>139.10256410256423</v>
      </c>
      <c r="CL97" s="499" t="s">
        <v>223</v>
      </c>
      <c r="CM97" s="499" t="s">
        <v>158</v>
      </c>
      <c r="CN97" s="513">
        <v>0.06138888888888889</v>
      </c>
      <c r="CO97" s="481">
        <v>369.2393114936148</v>
      </c>
      <c r="CP97" s="499"/>
      <c r="CQ97" s="499"/>
      <c r="CR97" s="526"/>
      <c r="CS97" s="481"/>
      <c r="CT97" s="499"/>
      <c r="CU97" s="499"/>
      <c r="CV97" s="526"/>
      <c r="CW97" s="481"/>
      <c r="CX97" s="499" t="s">
        <v>872</v>
      </c>
      <c r="CY97" s="499" t="s">
        <v>2</v>
      </c>
      <c r="CZ97" s="516">
        <v>0.0984375</v>
      </c>
      <c r="DA97" s="546">
        <v>10</v>
      </c>
      <c r="DB97" s="499" t="s">
        <v>872</v>
      </c>
      <c r="DC97" s="499" t="s">
        <v>2</v>
      </c>
      <c r="DD97" s="513">
        <v>0.08439814814814815</v>
      </c>
      <c r="DE97" s="481">
        <v>10</v>
      </c>
    </row>
    <row r="98" spans="1:111" ht="12.75">
      <c r="A98" s="504">
        <v>84</v>
      </c>
      <c r="B98" s="522" t="s">
        <v>750</v>
      </c>
      <c r="C98" s="371" t="s">
        <v>10</v>
      </c>
      <c r="D98" s="371" t="s">
        <v>253</v>
      </c>
      <c r="F98" s="548"/>
      <c r="G98" s="506">
        <f aca="true" t="shared" si="4" ref="G98:G107">H98</f>
        <v>2688.1972007803406</v>
      </c>
      <c r="H98" s="507">
        <f t="shared" si="3"/>
        <v>2688.1972007803406</v>
      </c>
      <c r="I98" s="508">
        <v>5</v>
      </c>
      <c r="J98" s="509" t="s">
        <v>550</v>
      </c>
      <c r="K98" s="509" t="s">
        <v>2</v>
      </c>
      <c r="L98" s="513">
        <v>0.03868055555555556</v>
      </c>
      <c r="M98" s="481">
        <v>661.8947368421052</v>
      </c>
      <c r="N98" s="524"/>
      <c r="O98" s="499"/>
      <c r="Q98" s="481"/>
      <c r="R98" s="524"/>
      <c r="S98" s="499"/>
      <c r="U98" s="491"/>
      <c r="V98" s="524"/>
      <c r="W98" s="499"/>
      <c r="Y98" s="491"/>
      <c r="Z98" s="524"/>
      <c r="AA98" s="499"/>
      <c r="AC98" s="491"/>
      <c r="AD98" s="524"/>
      <c r="AE98" s="524"/>
      <c r="AG98" s="491"/>
      <c r="AH98" s="524"/>
      <c r="AI98" s="524"/>
      <c r="AK98" s="491"/>
      <c r="AL98" s="524"/>
      <c r="AM98" s="524"/>
      <c r="AO98" s="491"/>
      <c r="AP98" s="524"/>
      <c r="AQ98" s="499"/>
      <c r="AR98" s="498"/>
      <c r="AS98" s="491"/>
      <c r="AT98" s="509"/>
      <c r="AU98" s="509"/>
      <c r="AV98" s="509"/>
      <c r="AW98" s="502"/>
      <c r="AX98" s="509"/>
      <c r="AY98" s="509"/>
      <c r="AZ98" s="513"/>
      <c r="BA98" s="540"/>
      <c r="BB98" s="509"/>
      <c r="BC98" s="509"/>
      <c r="BD98" s="513"/>
      <c r="BE98" s="491"/>
      <c r="BF98" s="509" t="s">
        <v>742</v>
      </c>
      <c r="BG98" s="509" t="s">
        <v>2</v>
      </c>
      <c r="BH98" s="513">
        <v>0.038969907407407404</v>
      </c>
      <c r="BI98" s="481">
        <v>524.7105788423154</v>
      </c>
      <c r="BJ98" s="509" t="s">
        <v>742</v>
      </c>
      <c r="BK98" s="509" t="s">
        <v>2</v>
      </c>
      <c r="BL98" s="513">
        <v>0.013796296296296298</v>
      </c>
      <c r="BM98" s="481">
        <v>663.2612966601178</v>
      </c>
      <c r="BN98" s="509" t="s">
        <v>742</v>
      </c>
      <c r="BO98" s="509" t="s">
        <v>2</v>
      </c>
      <c r="BP98" s="513">
        <v>0.06710648148148148</v>
      </c>
      <c r="BQ98" s="481">
        <v>592.9656969170647</v>
      </c>
      <c r="BR98" s="509" t="s">
        <v>742</v>
      </c>
      <c r="BS98" s="509" t="s">
        <v>2</v>
      </c>
      <c r="BT98" s="513">
        <v>0.059618055555555556</v>
      </c>
      <c r="BU98" s="481">
        <v>245.36489151873778</v>
      </c>
      <c r="BV98" s="499"/>
      <c r="BW98" s="499"/>
      <c r="BX98" s="498"/>
      <c r="BY98" s="481"/>
      <c r="BZ98" s="499"/>
      <c r="CA98" s="499"/>
      <c r="CB98" s="498"/>
      <c r="CC98" s="481"/>
      <c r="CD98" s="499"/>
      <c r="CE98" s="499"/>
      <c r="CF98" s="526"/>
      <c r="CG98" s="481"/>
      <c r="CH98" s="499"/>
      <c r="CI98" s="499"/>
      <c r="CJ98" s="516"/>
      <c r="CK98" s="481"/>
      <c r="CL98" s="499"/>
      <c r="CM98" s="499"/>
      <c r="CN98" s="516"/>
      <c r="CO98" s="481"/>
      <c r="CP98" s="499"/>
      <c r="CQ98" s="499"/>
      <c r="CR98" s="516"/>
      <c r="CS98" s="481"/>
      <c r="CT98" s="499"/>
      <c r="CU98" s="499"/>
      <c r="CV98" s="516"/>
      <c r="CW98" s="481"/>
      <c r="CX98" s="499"/>
      <c r="CY98" s="499"/>
      <c r="CZ98" s="516"/>
      <c r="DA98" s="481"/>
      <c r="DB98" s="499"/>
      <c r="DC98" s="499"/>
      <c r="DD98" s="516"/>
      <c r="DE98" s="481"/>
      <c r="DF98" s="494"/>
      <c r="DG98" s="494"/>
    </row>
    <row r="99" spans="1:109" ht="12.75">
      <c r="A99" s="504">
        <v>85</v>
      </c>
      <c r="B99" s="505" t="s">
        <v>277</v>
      </c>
      <c r="C99" s="371" t="s">
        <v>187</v>
      </c>
      <c r="D99" s="371" t="s">
        <v>278</v>
      </c>
      <c r="F99" s="548">
        <v>1971</v>
      </c>
      <c r="G99" s="506">
        <f t="shared" si="4"/>
        <v>2684.23590290694</v>
      </c>
      <c r="H99" s="507">
        <f t="shared" si="3"/>
        <v>2684.23590290694</v>
      </c>
      <c r="I99" s="508">
        <v>3</v>
      </c>
      <c r="J99" s="524"/>
      <c r="K99" s="499"/>
      <c r="M99" s="481"/>
      <c r="N99" s="524"/>
      <c r="O99" s="499"/>
      <c r="Q99" s="491"/>
      <c r="R99" s="524"/>
      <c r="S99" s="499"/>
      <c r="U99" s="481"/>
      <c r="V99" s="524"/>
      <c r="W99" s="499"/>
      <c r="Y99" s="491"/>
      <c r="Z99" s="509" t="s">
        <v>443</v>
      </c>
      <c r="AA99" s="509" t="s">
        <v>1</v>
      </c>
      <c r="AB99" s="520">
        <v>0.01653935185185185</v>
      </c>
      <c r="AC99" s="481">
        <v>818.6592655849703</v>
      </c>
      <c r="AD99" s="509" t="s">
        <v>443</v>
      </c>
      <c r="AE99" s="509" t="s">
        <v>1</v>
      </c>
      <c r="AF99" s="520">
        <v>0.06854166666666667</v>
      </c>
      <c r="AG99" s="481">
        <v>932.9391891891893</v>
      </c>
      <c r="AH99" s="509" t="s">
        <v>443</v>
      </c>
      <c r="AI99" s="509" t="s">
        <v>1</v>
      </c>
      <c r="AJ99" s="520">
        <v>0.04961805555555556</v>
      </c>
      <c r="AK99" s="481">
        <v>932.6374481327802</v>
      </c>
      <c r="AL99" s="524"/>
      <c r="AM99" s="537"/>
      <c r="AN99" s="526"/>
      <c r="AO99" s="481"/>
      <c r="AP99" s="524"/>
      <c r="AQ99" s="499"/>
      <c r="AR99" s="526"/>
      <c r="AS99" s="481"/>
      <c r="AT99" s="499"/>
      <c r="AU99" s="499"/>
      <c r="AV99" s="526"/>
      <c r="AW99" s="481"/>
      <c r="AX99" s="499"/>
      <c r="AY99" s="499"/>
      <c r="AZ99" s="526"/>
      <c r="BA99" s="481"/>
      <c r="BB99" s="499"/>
      <c r="BC99" s="499"/>
      <c r="BD99" s="516"/>
      <c r="BE99" s="481"/>
      <c r="BF99" s="499"/>
      <c r="BG99" s="499"/>
      <c r="BH99" s="526"/>
      <c r="BI99" s="481"/>
      <c r="BJ99" s="499"/>
      <c r="BK99" s="499"/>
      <c r="BL99" s="498"/>
      <c r="BM99" s="491"/>
      <c r="BN99" s="499"/>
      <c r="BO99" s="499"/>
      <c r="BP99" s="526"/>
      <c r="BQ99" s="481"/>
      <c r="BR99" s="499"/>
      <c r="BS99" s="499"/>
      <c r="BT99" s="526"/>
      <c r="BU99" s="481"/>
      <c r="BV99" s="499"/>
      <c r="BW99" s="499"/>
      <c r="BX99" s="516"/>
      <c r="BY99" s="481"/>
      <c r="BZ99" s="499"/>
      <c r="CA99" s="499"/>
      <c r="CB99" s="526"/>
      <c r="CC99" s="481"/>
      <c r="CD99" s="499"/>
      <c r="CE99" s="499"/>
      <c r="CF99" s="516"/>
      <c r="CG99" s="481"/>
      <c r="CH99" s="499"/>
      <c r="CI99" s="499"/>
      <c r="CJ99" s="526"/>
      <c r="CK99" s="481"/>
      <c r="CL99" s="499"/>
      <c r="CM99" s="499"/>
      <c r="CN99" s="526"/>
      <c r="CO99" s="481"/>
      <c r="CP99" s="499"/>
      <c r="CQ99" s="499"/>
      <c r="CR99" s="526"/>
      <c r="CS99" s="481"/>
      <c r="CT99" s="499"/>
      <c r="CU99" s="499"/>
      <c r="CV99" s="526"/>
      <c r="CW99" s="481"/>
      <c r="CX99" s="499"/>
      <c r="CY99" s="499"/>
      <c r="CZ99" s="516"/>
      <c r="DA99" s="481"/>
      <c r="DB99" s="509"/>
      <c r="DC99" s="509"/>
      <c r="DD99" s="520"/>
      <c r="DE99" s="515"/>
    </row>
    <row r="100" spans="1:109" ht="12.75">
      <c r="A100" s="504">
        <v>86</v>
      </c>
      <c r="B100" s="522" t="s">
        <v>747</v>
      </c>
      <c r="F100" s="548"/>
      <c r="G100" s="506">
        <f t="shared" si="4"/>
        <v>2664.2430893751284</v>
      </c>
      <c r="H100" s="507">
        <f t="shared" si="3"/>
        <v>2664.2430893751284</v>
      </c>
      <c r="I100" s="508">
        <v>4</v>
      </c>
      <c r="J100" s="524"/>
      <c r="K100" s="499"/>
      <c r="M100" s="491"/>
      <c r="N100" s="524"/>
      <c r="O100" s="499"/>
      <c r="Q100" s="481"/>
      <c r="R100" s="524"/>
      <c r="S100" s="499"/>
      <c r="U100" s="491"/>
      <c r="V100" s="524"/>
      <c r="W100" s="499"/>
      <c r="Y100" s="491"/>
      <c r="Z100" s="524"/>
      <c r="AA100" s="499"/>
      <c r="AC100" s="491"/>
      <c r="AD100" s="524"/>
      <c r="AE100" s="524"/>
      <c r="AG100" s="491"/>
      <c r="AH100" s="524"/>
      <c r="AI100" s="524"/>
      <c r="AK100" s="491"/>
      <c r="AL100" s="524"/>
      <c r="AM100" s="524"/>
      <c r="AO100" s="491"/>
      <c r="AP100" s="524"/>
      <c r="AQ100" s="499"/>
      <c r="AR100" s="498"/>
      <c r="AS100" s="491"/>
      <c r="AT100" s="509"/>
      <c r="AU100" s="509"/>
      <c r="AV100" s="509"/>
      <c r="AW100" s="502"/>
      <c r="AX100" s="509"/>
      <c r="AY100" s="509"/>
      <c r="AZ100" s="513"/>
      <c r="BA100" s="540"/>
      <c r="BB100" s="509"/>
      <c r="BC100" s="509"/>
      <c r="BD100" s="513"/>
      <c r="BE100" s="491"/>
      <c r="BF100" s="509" t="s">
        <v>741</v>
      </c>
      <c r="BG100" s="509" t="s">
        <v>158</v>
      </c>
      <c r="BH100" s="513">
        <v>0.026504629629629628</v>
      </c>
      <c r="BI100" s="481">
        <v>649.1803278688526</v>
      </c>
      <c r="BJ100" s="509" t="s">
        <v>741</v>
      </c>
      <c r="BK100" s="509" t="s">
        <v>158</v>
      </c>
      <c r="BL100" s="513">
        <v>0.012407407407407409</v>
      </c>
      <c r="BM100" s="481">
        <v>615.0627615062759</v>
      </c>
      <c r="BN100" s="509" t="s">
        <v>741</v>
      </c>
      <c r="BO100" s="509" t="s">
        <v>158</v>
      </c>
      <c r="BP100" s="513">
        <v>0.03570601851851852</v>
      </c>
      <c r="BQ100" s="481">
        <v>700</v>
      </c>
      <c r="BR100" s="509" t="s">
        <v>741</v>
      </c>
      <c r="BS100" s="509" t="s">
        <v>158</v>
      </c>
      <c r="BT100" s="513">
        <v>0.024224537037037034</v>
      </c>
      <c r="BU100" s="481">
        <v>700</v>
      </c>
      <c r="BV100" s="499"/>
      <c r="BW100" s="499"/>
      <c r="BX100" s="498"/>
      <c r="BY100" s="481"/>
      <c r="BZ100" s="499"/>
      <c r="CA100" s="499"/>
      <c r="CB100" s="498"/>
      <c r="CC100" s="481"/>
      <c r="CD100" s="499"/>
      <c r="CE100" s="499"/>
      <c r="CF100" s="526"/>
      <c r="CG100" s="481"/>
      <c r="CH100" s="499"/>
      <c r="CI100" s="499"/>
      <c r="CJ100" s="526"/>
      <c r="CK100" s="481"/>
      <c r="CL100" s="499"/>
      <c r="CM100" s="499"/>
      <c r="CN100" s="526"/>
      <c r="CO100" s="481"/>
      <c r="CP100" s="499"/>
      <c r="CQ100" s="499"/>
      <c r="CR100" s="520"/>
      <c r="CS100" s="515"/>
      <c r="CT100" s="509"/>
      <c r="CU100" s="509"/>
      <c r="CV100" s="520"/>
      <c r="CW100" s="515"/>
      <c r="CX100" s="499"/>
      <c r="CY100" s="499"/>
      <c r="CZ100" s="516"/>
      <c r="DA100" s="481"/>
      <c r="DB100" s="509"/>
      <c r="DC100" s="509"/>
      <c r="DD100" s="520"/>
      <c r="DE100" s="515"/>
    </row>
    <row r="101" spans="1:109" ht="12.75">
      <c r="A101" s="504">
        <v>87</v>
      </c>
      <c r="B101" s="505" t="s">
        <v>806</v>
      </c>
      <c r="C101" s="371" t="s">
        <v>10</v>
      </c>
      <c r="D101" s="371" t="s">
        <v>192</v>
      </c>
      <c r="E101" s="495" t="s">
        <v>359</v>
      </c>
      <c r="F101" s="548">
        <v>2004</v>
      </c>
      <c r="G101" s="506">
        <f t="shared" si="4"/>
        <v>2644.4218557845493</v>
      </c>
      <c r="H101" s="507">
        <f t="shared" si="3"/>
        <v>2644.4218557845493</v>
      </c>
      <c r="I101" s="508">
        <v>5</v>
      </c>
      <c r="J101" s="524"/>
      <c r="K101" s="499"/>
      <c r="M101" s="491"/>
      <c r="N101" s="524"/>
      <c r="O101" s="499"/>
      <c r="P101" s="516"/>
      <c r="Q101" s="491"/>
      <c r="R101" s="524"/>
      <c r="S101" s="499"/>
      <c r="U101" s="491"/>
      <c r="V101" s="524"/>
      <c r="W101" s="499"/>
      <c r="Y101" s="491"/>
      <c r="Z101" s="524"/>
      <c r="AA101" s="499"/>
      <c r="AC101" s="491"/>
      <c r="AD101" s="524"/>
      <c r="AE101" s="524"/>
      <c r="AG101" s="491"/>
      <c r="AH101" s="524"/>
      <c r="AI101" s="524"/>
      <c r="AJ101" s="516"/>
      <c r="AK101" s="491"/>
      <c r="AL101" s="524"/>
      <c r="AM101" s="524"/>
      <c r="AO101" s="491"/>
      <c r="AP101" s="541"/>
      <c r="AQ101" s="509"/>
      <c r="AS101" s="502"/>
      <c r="AT101" s="509"/>
      <c r="AU101" s="509"/>
      <c r="AW101" s="502"/>
      <c r="AX101" s="499"/>
      <c r="AY101" s="499"/>
      <c r="AZ101" s="516"/>
      <c r="BA101" s="502"/>
      <c r="BB101" s="499"/>
      <c r="BC101" s="499"/>
      <c r="BD101" s="498"/>
      <c r="BE101" s="491"/>
      <c r="BF101" s="499"/>
      <c r="BG101" s="499"/>
      <c r="BH101" s="498"/>
      <c r="BI101" s="491"/>
      <c r="BJ101" s="499"/>
      <c r="BK101" s="499"/>
      <c r="BL101" s="516"/>
      <c r="BM101" s="502"/>
      <c r="BN101" s="509"/>
      <c r="BO101" s="509"/>
      <c r="BP101" s="501"/>
      <c r="BQ101" s="502"/>
      <c r="BR101" s="509"/>
      <c r="BS101" s="509"/>
      <c r="BT101" s="501"/>
      <c r="BU101" s="502"/>
      <c r="BV101" s="509"/>
      <c r="BW101" s="509"/>
      <c r="BX101" s="520"/>
      <c r="BY101" s="515"/>
      <c r="BZ101" s="499"/>
      <c r="CA101" s="499"/>
      <c r="CB101" s="516"/>
      <c r="CC101" s="481"/>
      <c r="CD101" s="509" t="s">
        <v>644</v>
      </c>
      <c r="CE101" s="509" t="s">
        <v>172</v>
      </c>
      <c r="CF101" s="513">
        <v>0.04608796296296296</v>
      </c>
      <c r="CG101" s="481">
        <v>238.4691358024692</v>
      </c>
      <c r="CH101" s="499"/>
      <c r="CI101" s="499"/>
      <c r="CJ101" s="526"/>
      <c r="CK101" s="481"/>
      <c r="CL101" s="499"/>
      <c r="CM101" s="499"/>
      <c r="CN101" s="526"/>
      <c r="CO101" s="481"/>
      <c r="CP101" s="499" t="s">
        <v>845</v>
      </c>
      <c r="CQ101" s="499" t="s">
        <v>158</v>
      </c>
      <c r="CR101" s="513">
        <v>0.03568287037037037</v>
      </c>
      <c r="CS101" s="481">
        <v>700</v>
      </c>
      <c r="CT101" s="499" t="s">
        <v>845</v>
      </c>
      <c r="CU101" s="499" t="s">
        <v>158</v>
      </c>
      <c r="CV101" s="513">
        <v>0.011689814814814814</v>
      </c>
      <c r="CW101" s="481">
        <v>601.129943502825</v>
      </c>
      <c r="CX101" s="499" t="s">
        <v>397</v>
      </c>
      <c r="CY101" s="499" t="s">
        <v>158</v>
      </c>
      <c r="CZ101" s="516">
        <v>0.030694444444444444</v>
      </c>
      <c r="DA101" s="481">
        <v>609.3696763202727</v>
      </c>
      <c r="DB101" s="499" t="s">
        <v>397</v>
      </c>
      <c r="DC101" s="499" t="s">
        <v>158</v>
      </c>
      <c r="DD101" s="526">
        <v>0.04703703703703704</v>
      </c>
      <c r="DE101" s="481">
        <v>495.4531001589824</v>
      </c>
    </row>
    <row r="102" spans="1:109" ht="12.75">
      <c r="A102" s="504">
        <v>88</v>
      </c>
      <c r="B102" s="522" t="s">
        <v>558</v>
      </c>
      <c r="C102" s="371" t="s">
        <v>473</v>
      </c>
      <c r="D102" s="371" t="s">
        <v>474</v>
      </c>
      <c r="G102" s="506">
        <f t="shared" si="4"/>
        <v>2626.1585827965137</v>
      </c>
      <c r="H102" s="507">
        <f t="shared" si="3"/>
        <v>2626.1585827965137</v>
      </c>
      <c r="I102" s="508">
        <v>3</v>
      </c>
      <c r="J102" s="524"/>
      <c r="K102" s="499"/>
      <c r="M102" s="491"/>
      <c r="N102" s="524"/>
      <c r="O102" s="499"/>
      <c r="P102" s="516"/>
      <c r="Q102" s="481"/>
      <c r="R102" s="524"/>
      <c r="S102" s="499"/>
      <c r="T102" s="516"/>
      <c r="U102" s="481"/>
      <c r="V102" s="524"/>
      <c r="W102" s="499"/>
      <c r="X102" s="516"/>
      <c r="Y102" s="481"/>
      <c r="Z102" s="509" t="s">
        <v>568</v>
      </c>
      <c r="AA102" s="509" t="s">
        <v>2</v>
      </c>
      <c r="AB102" s="513">
        <v>0.012361111111111113</v>
      </c>
      <c r="AC102" s="481">
        <v>871.9827586206895</v>
      </c>
      <c r="AD102" s="509" t="s">
        <v>568</v>
      </c>
      <c r="AE102" s="509" t="s">
        <v>2</v>
      </c>
      <c r="AF102" s="513">
        <v>0.054699074074074074</v>
      </c>
      <c r="AG102" s="532">
        <v>892.5</v>
      </c>
      <c r="AH102" s="509" t="s">
        <v>568</v>
      </c>
      <c r="AI102" s="509" t="s">
        <v>2</v>
      </c>
      <c r="AJ102" s="513">
        <v>0.03813657407407407</v>
      </c>
      <c r="AK102" s="481">
        <v>861.6758241758243</v>
      </c>
      <c r="AL102" s="524"/>
      <c r="AM102" s="524"/>
      <c r="AO102" s="481"/>
      <c r="AP102" s="524"/>
      <c r="AQ102" s="524"/>
      <c r="AR102" s="516"/>
      <c r="AS102" s="481"/>
      <c r="AT102" s="499"/>
      <c r="AU102" s="499"/>
      <c r="AV102" s="516"/>
      <c r="AW102" s="481"/>
      <c r="AX102" s="499"/>
      <c r="AY102" s="499"/>
      <c r="AZ102" s="498"/>
      <c r="BA102" s="481"/>
      <c r="BB102" s="499"/>
      <c r="BC102" s="499"/>
      <c r="BD102" s="516"/>
      <c r="BE102" s="481"/>
      <c r="BF102" s="499"/>
      <c r="BG102" s="499"/>
      <c r="BH102" s="526"/>
      <c r="BI102" s="481"/>
      <c r="BJ102" s="499"/>
      <c r="BK102" s="499"/>
      <c r="BL102" s="516"/>
      <c r="BM102" s="491"/>
      <c r="BN102" s="499"/>
      <c r="BO102" s="499"/>
      <c r="BP102" s="526"/>
      <c r="BQ102" s="481"/>
      <c r="BR102" s="499"/>
      <c r="BS102" s="499"/>
      <c r="BT102" s="526"/>
      <c r="BU102" s="481"/>
      <c r="BV102" s="499"/>
      <c r="BW102" s="499"/>
      <c r="BX102" s="516"/>
      <c r="BY102" s="481"/>
      <c r="BZ102" s="499"/>
      <c r="CA102" s="499"/>
      <c r="CB102" s="516"/>
      <c r="CC102" s="481"/>
      <c r="CD102" s="499"/>
      <c r="CE102" s="499"/>
      <c r="CF102" s="516"/>
      <c r="CG102" s="481"/>
      <c r="CH102" s="499"/>
      <c r="CI102" s="499"/>
      <c r="CJ102" s="526"/>
      <c r="CK102" s="481"/>
      <c r="CL102" s="499"/>
      <c r="CM102" s="499"/>
      <c r="CN102" s="526"/>
      <c r="CO102" s="481"/>
      <c r="CP102" s="499"/>
      <c r="CQ102" s="499"/>
      <c r="CR102" s="516"/>
      <c r="CS102" s="481"/>
      <c r="CT102" s="499"/>
      <c r="CU102" s="499"/>
      <c r="CV102" s="516"/>
      <c r="CW102" s="481"/>
      <c r="CX102" s="499"/>
      <c r="CY102" s="499"/>
      <c r="CZ102" s="526"/>
      <c r="DA102" s="481"/>
      <c r="DB102" s="499"/>
      <c r="DC102" s="499"/>
      <c r="DD102" s="526"/>
      <c r="DE102" s="481"/>
    </row>
    <row r="103" spans="1:109" ht="12.75">
      <c r="A103" s="504">
        <v>89</v>
      </c>
      <c r="B103" s="522" t="s">
        <v>560</v>
      </c>
      <c r="C103" s="371" t="s">
        <v>470</v>
      </c>
      <c r="D103" s="371" t="s">
        <v>471</v>
      </c>
      <c r="G103" s="506">
        <f t="shared" si="4"/>
        <v>2612.2686773657997</v>
      </c>
      <c r="H103" s="507">
        <f t="shared" si="3"/>
        <v>2612.2686773657997</v>
      </c>
      <c r="I103" s="508">
        <v>3</v>
      </c>
      <c r="J103" s="524"/>
      <c r="K103" s="499"/>
      <c r="M103" s="491"/>
      <c r="N103" s="524"/>
      <c r="O103" s="499"/>
      <c r="P103" s="516"/>
      <c r="Q103" s="481"/>
      <c r="R103" s="524"/>
      <c r="S103" s="499"/>
      <c r="T103" s="516"/>
      <c r="U103" s="481"/>
      <c r="V103" s="524"/>
      <c r="W103" s="499"/>
      <c r="X103" s="516"/>
      <c r="Y103" s="481"/>
      <c r="Z103" s="509" t="s">
        <v>568</v>
      </c>
      <c r="AA103" s="509" t="s">
        <v>2</v>
      </c>
      <c r="AB103" s="513">
        <v>0.012083333333333333</v>
      </c>
      <c r="AC103" s="481">
        <v>892.5</v>
      </c>
      <c r="AD103" s="509" t="s">
        <v>568</v>
      </c>
      <c r="AE103" s="509" t="s">
        <v>2</v>
      </c>
      <c r="AF103" s="513">
        <v>0.05701388888888889</v>
      </c>
      <c r="AG103" s="481">
        <v>854.7302158273382</v>
      </c>
      <c r="AH103" s="509" t="s">
        <v>568</v>
      </c>
      <c r="AI103" s="509" t="s">
        <v>2</v>
      </c>
      <c r="AJ103" s="513">
        <v>0.03799768518518518</v>
      </c>
      <c r="AK103" s="481">
        <v>865.0384615384617</v>
      </c>
      <c r="AL103" s="524"/>
      <c r="AM103" s="537"/>
      <c r="AN103" s="526"/>
      <c r="AO103" s="481"/>
      <c r="AP103" s="524"/>
      <c r="AQ103" s="498"/>
      <c r="AR103" s="526"/>
      <c r="AS103" s="481"/>
      <c r="AT103" s="499"/>
      <c r="AU103" s="499"/>
      <c r="AV103" s="516"/>
      <c r="AW103" s="481"/>
      <c r="AX103" s="499"/>
      <c r="AY103" s="499"/>
      <c r="AZ103" s="516"/>
      <c r="BA103" s="481"/>
      <c r="BB103" s="499"/>
      <c r="BC103" s="499"/>
      <c r="BD103" s="516"/>
      <c r="BE103" s="481"/>
      <c r="BF103" s="499"/>
      <c r="BG103" s="499"/>
      <c r="BH103" s="526"/>
      <c r="BI103" s="481"/>
      <c r="BJ103" s="499"/>
      <c r="BK103" s="499"/>
      <c r="BL103" s="516"/>
      <c r="BM103" s="491"/>
      <c r="BN103" s="499"/>
      <c r="BO103" s="499"/>
      <c r="BP103" s="516"/>
      <c r="BQ103" s="481"/>
      <c r="BR103" s="499"/>
      <c r="BS103" s="499"/>
      <c r="BT103" s="516"/>
      <c r="BU103" s="481"/>
      <c r="BV103" s="499"/>
      <c r="BW103" s="499"/>
      <c r="BX103" s="516"/>
      <c r="BY103" s="481"/>
      <c r="BZ103" s="499"/>
      <c r="CA103" s="499"/>
      <c r="CB103" s="516"/>
      <c r="CC103" s="481"/>
      <c r="CD103" s="499"/>
      <c r="CE103" s="499"/>
      <c r="CF103" s="516"/>
      <c r="CG103" s="481"/>
      <c r="CH103" s="499"/>
      <c r="CI103" s="499"/>
      <c r="CJ103" s="516"/>
      <c r="CK103" s="481"/>
      <c r="CL103" s="499"/>
      <c r="CM103" s="499"/>
      <c r="CN103" s="516"/>
      <c r="CO103" s="481"/>
      <c r="CP103" s="499"/>
      <c r="CQ103" s="499"/>
      <c r="CR103" s="516"/>
      <c r="CS103" s="481"/>
      <c r="CT103" s="499"/>
      <c r="CU103" s="499"/>
      <c r="CV103" s="516"/>
      <c r="CW103" s="481"/>
      <c r="CX103" s="499"/>
      <c r="CY103" s="499"/>
      <c r="CZ103" s="516"/>
      <c r="DA103" s="481"/>
      <c r="DB103" s="499"/>
      <c r="DC103" s="499"/>
      <c r="DD103" s="516"/>
      <c r="DE103" s="481"/>
    </row>
    <row r="104" spans="1:109" ht="12.75">
      <c r="A104" s="504">
        <v>90</v>
      </c>
      <c r="B104" s="522" t="s">
        <v>559</v>
      </c>
      <c r="C104" s="371" t="s">
        <v>473</v>
      </c>
      <c r="D104" s="371" t="s">
        <v>474</v>
      </c>
      <c r="G104" s="506">
        <f t="shared" si="4"/>
        <v>2552.34387582772</v>
      </c>
      <c r="H104" s="507">
        <f t="shared" si="3"/>
        <v>2552.34387582772</v>
      </c>
      <c r="I104" s="508">
        <v>3</v>
      </c>
      <c r="J104" s="524"/>
      <c r="K104" s="499"/>
      <c r="M104" s="491"/>
      <c r="N104" s="524"/>
      <c r="O104" s="499"/>
      <c r="P104" s="516"/>
      <c r="Q104" s="481"/>
      <c r="R104" s="524"/>
      <c r="S104" s="499"/>
      <c r="T104" s="516"/>
      <c r="U104" s="481"/>
      <c r="V104" s="524"/>
      <c r="W104" s="499"/>
      <c r="X104" s="516"/>
      <c r="Y104" s="481"/>
      <c r="Z104" s="509" t="s">
        <v>568</v>
      </c>
      <c r="AA104" s="509" t="s">
        <v>2</v>
      </c>
      <c r="AB104" s="513">
        <v>0.01329861111111111</v>
      </c>
      <c r="AC104" s="481">
        <v>802.7370689655174</v>
      </c>
      <c r="AD104" s="509" t="s">
        <v>568</v>
      </c>
      <c r="AE104" s="509" t="s">
        <v>2</v>
      </c>
      <c r="AF104" s="513">
        <v>0.05518518518518519</v>
      </c>
      <c r="AG104" s="481">
        <v>884.5683453237409</v>
      </c>
      <c r="AH104" s="509" t="s">
        <v>568</v>
      </c>
      <c r="AI104" s="509" t="s">
        <v>2</v>
      </c>
      <c r="AJ104" s="513">
        <v>0.03799768518518518</v>
      </c>
      <c r="AK104" s="481">
        <v>865.0384615384617</v>
      </c>
      <c r="AL104" s="524"/>
      <c r="AM104" s="524"/>
      <c r="AN104" s="516"/>
      <c r="AO104" s="481"/>
      <c r="AP104" s="524"/>
      <c r="AQ104" s="498"/>
      <c r="AR104" s="526"/>
      <c r="AS104" s="481"/>
      <c r="AT104" s="499"/>
      <c r="AU104" s="499"/>
      <c r="AV104" s="526"/>
      <c r="AW104" s="481"/>
      <c r="AX104" s="499"/>
      <c r="AY104" s="499"/>
      <c r="AZ104" s="526"/>
      <c r="BA104" s="481"/>
      <c r="BB104" s="499"/>
      <c r="BC104" s="499"/>
      <c r="BD104" s="516"/>
      <c r="BE104" s="481"/>
      <c r="BF104" s="499"/>
      <c r="BG104" s="499"/>
      <c r="BH104" s="526"/>
      <c r="BI104" s="481"/>
      <c r="BJ104" s="499"/>
      <c r="BK104" s="499"/>
      <c r="BL104" s="516"/>
      <c r="BM104" s="491"/>
      <c r="BN104" s="499"/>
      <c r="BO104" s="499"/>
      <c r="BP104" s="526"/>
      <c r="BQ104" s="481"/>
      <c r="BR104" s="499"/>
      <c r="BS104" s="499"/>
      <c r="BT104" s="526"/>
      <c r="BU104" s="481"/>
      <c r="BV104" s="499"/>
      <c r="BW104" s="499"/>
      <c r="BX104" s="526"/>
      <c r="BY104" s="481"/>
      <c r="BZ104" s="499"/>
      <c r="CA104" s="499"/>
      <c r="CB104" s="526"/>
      <c r="CC104" s="481"/>
      <c r="CD104" s="499"/>
      <c r="CE104" s="499"/>
      <c r="CF104" s="516"/>
      <c r="CG104" s="481"/>
      <c r="CH104" s="499"/>
      <c r="CI104" s="499"/>
      <c r="CJ104" s="516"/>
      <c r="CK104" s="481"/>
      <c r="CL104" s="499"/>
      <c r="CM104" s="499"/>
      <c r="CN104" s="516"/>
      <c r="CO104" s="481"/>
      <c r="CP104" s="499"/>
      <c r="CQ104" s="499"/>
      <c r="CR104" s="520"/>
      <c r="CS104" s="515"/>
      <c r="CT104" s="509"/>
      <c r="CU104" s="509"/>
      <c r="CV104" s="520"/>
      <c r="CW104" s="515"/>
      <c r="CX104" s="499"/>
      <c r="CY104" s="499"/>
      <c r="CZ104" s="526"/>
      <c r="DA104" s="481"/>
      <c r="DB104" s="509"/>
      <c r="DC104" s="509"/>
      <c r="DD104" s="520"/>
      <c r="DE104" s="515"/>
    </row>
    <row r="105" spans="1:109" ht="12.75">
      <c r="A105" s="504">
        <v>91</v>
      </c>
      <c r="B105" s="505" t="s">
        <v>365</v>
      </c>
      <c r="C105" s="371" t="s">
        <v>10</v>
      </c>
      <c r="D105" s="371" t="s">
        <v>117</v>
      </c>
      <c r="E105" s="495" t="s">
        <v>360</v>
      </c>
      <c r="F105" s="548">
        <v>1972</v>
      </c>
      <c r="G105" s="506">
        <f t="shared" si="4"/>
        <v>2512.1228850786597</v>
      </c>
      <c r="H105" s="507">
        <f t="shared" si="3"/>
        <v>2512.1228850786597</v>
      </c>
      <c r="I105" s="508">
        <v>5</v>
      </c>
      <c r="J105" s="524"/>
      <c r="K105" s="499"/>
      <c r="L105" s="516"/>
      <c r="M105" s="481"/>
      <c r="N105" s="524"/>
      <c r="O105" s="499"/>
      <c r="P105" s="516"/>
      <c r="Q105" s="481"/>
      <c r="R105" s="524"/>
      <c r="S105" s="499"/>
      <c r="U105" s="491"/>
      <c r="V105" s="524"/>
      <c r="W105" s="499"/>
      <c r="Y105" s="491"/>
      <c r="Z105" s="509"/>
      <c r="AA105" s="509"/>
      <c r="AB105" s="520"/>
      <c r="AC105" s="481"/>
      <c r="AD105" s="509" t="s">
        <v>396</v>
      </c>
      <c r="AE105" s="509" t="s">
        <v>158</v>
      </c>
      <c r="AF105" s="513">
        <v>0.07127314814814815</v>
      </c>
      <c r="AG105" s="481">
        <v>622.8326180257511</v>
      </c>
      <c r="AH105" s="509" t="s">
        <v>396</v>
      </c>
      <c r="AI105" s="509" t="s">
        <v>158</v>
      </c>
      <c r="AJ105" s="501" t="s">
        <v>358</v>
      </c>
      <c r="AK105" s="481">
        <v>0</v>
      </c>
      <c r="AL105" s="509" t="s">
        <v>372</v>
      </c>
      <c r="AM105" s="509" t="s">
        <v>158</v>
      </c>
      <c r="AN105" s="513">
        <v>0.0777662037037037</v>
      </c>
      <c r="AO105" s="481">
        <v>720.6749868166639</v>
      </c>
      <c r="AP105" s="509"/>
      <c r="AQ105" s="509"/>
      <c r="AR105" s="509"/>
      <c r="AS105" s="481"/>
      <c r="AT105" s="499"/>
      <c r="AU105" s="499"/>
      <c r="AV105" s="526"/>
      <c r="AW105" s="481"/>
      <c r="AX105" s="499"/>
      <c r="AY105" s="499"/>
      <c r="AZ105" s="526"/>
      <c r="BA105" s="481"/>
      <c r="BB105" s="499"/>
      <c r="BC105" s="499"/>
      <c r="BD105" s="516"/>
      <c r="BE105" s="481"/>
      <c r="BF105" s="509"/>
      <c r="BG105" s="509"/>
      <c r="BH105" s="509"/>
      <c r="BI105" s="481"/>
      <c r="BJ105" s="509"/>
      <c r="BK105" s="509"/>
      <c r="BL105" s="509"/>
      <c r="BM105" s="481"/>
      <c r="BN105" s="509"/>
      <c r="BO105" s="509"/>
      <c r="BP105" s="509"/>
      <c r="BQ105" s="481"/>
      <c r="BR105" s="509" t="s">
        <v>741</v>
      </c>
      <c r="BS105" s="509" t="s">
        <v>158</v>
      </c>
      <c r="BT105" s="513">
        <v>0.030590277777777775</v>
      </c>
      <c r="BU105" s="481">
        <v>516.0535117056857</v>
      </c>
      <c r="BV105" s="499"/>
      <c r="BW105" s="499"/>
      <c r="BX105" s="516"/>
      <c r="BY105" s="481"/>
      <c r="BZ105" s="499"/>
      <c r="CA105" s="499"/>
      <c r="CB105" s="516"/>
      <c r="CC105" s="481"/>
      <c r="CD105" s="509" t="s">
        <v>372</v>
      </c>
      <c r="CE105" s="509" t="s">
        <v>2</v>
      </c>
      <c r="CF105" s="513">
        <v>0.04480324074074074</v>
      </c>
      <c r="CG105" s="481">
        <v>652.5617685305591</v>
      </c>
      <c r="CH105" s="499"/>
      <c r="CI105" s="499"/>
      <c r="CJ105" s="516"/>
      <c r="CK105" s="481"/>
      <c r="CL105" s="499"/>
      <c r="CM105" s="499"/>
      <c r="CN105" s="516"/>
      <c r="CO105" s="481"/>
      <c r="CP105" s="499"/>
      <c r="CQ105" s="499"/>
      <c r="CR105" s="516"/>
      <c r="CS105" s="481"/>
      <c r="CT105" s="499"/>
      <c r="CU105" s="499"/>
      <c r="CV105" s="516"/>
      <c r="CW105" s="481"/>
      <c r="CX105" s="499"/>
      <c r="CY105" s="499"/>
      <c r="CZ105" s="516"/>
      <c r="DA105" s="481"/>
      <c r="DB105" s="499"/>
      <c r="DC105" s="499"/>
      <c r="DD105" s="526"/>
      <c r="DE105" s="481"/>
    </row>
    <row r="106" spans="1:109" ht="12.75">
      <c r="A106" s="504">
        <v>92</v>
      </c>
      <c r="B106" s="522" t="s">
        <v>513</v>
      </c>
      <c r="C106" s="371" t="s">
        <v>170</v>
      </c>
      <c r="D106" s="371" t="s">
        <v>514</v>
      </c>
      <c r="G106" s="506">
        <f t="shared" si="4"/>
        <v>2494.4724483910363</v>
      </c>
      <c r="H106" s="507">
        <f t="shared" si="3"/>
        <v>2494.4724483910363</v>
      </c>
      <c r="I106" s="508">
        <v>3</v>
      </c>
      <c r="J106" s="524"/>
      <c r="K106" s="499"/>
      <c r="M106" s="491"/>
      <c r="N106" s="524"/>
      <c r="O106" s="499"/>
      <c r="P106" s="516"/>
      <c r="Q106" s="481"/>
      <c r="R106" s="524"/>
      <c r="S106" s="499"/>
      <c r="T106" s="516"/>
      <c r="U106" s="481"/>
      <c r="V106" s="524"/>
      <c r="W106" s="499"/>
      <c r="X106" s="516"/>
      <c r="Y106" s="481"/>
      <c r="Z106" s="509" t="s">
        <v>443</v>
      </c>
      <c r="AA106" s="509" t="s">
        <v>1</v>
      </c>
      <c r="AB106" s="520">
        <v>0.016909722222222225</v>
      </c>
      <c r="AC106" s="481">
        <v>789.9658411614002</v>
      </c>
      <c r="AD106" s="509" t="s">
        <v>443</v>
      </c>
      <c r="AE106" s="509" t="s">
        <v>1</v>
      </c>
      <c r="AF106" s="520">
        <v>0.07547453703703703</v>
      </c>
      <c r="AG106" s="481">
        <v>814.8930180180181</v>
      </c>
      <c r="AH106" s="509" t="s">
        <v>443</v>
      </c>
      <c r="AI106" s="509" t="s">
        <v>1</v>
      </c>
      <c r="AJ106" s="520">
        <v>0.05144675925925926</v>
      </c>
      <c r="AK106" s="481">
        <v>889.6135892116182</v>
      </c>
      <c r="AL106" s="524"/>
      <c r="AM106" s="537"/>
      <c r="AN106" s="526"/>
      <c r="AO106" s="481"/>
      <c r="AP106" s="524"/>
      <c r="AQ106" s="524"/>
      <c r="AR106" s="535"/>
      <c r="AS106" s="481"/>
      <c r="AT106" s="524"/>
      <c r="AU106" s="524"/>
      <c r="AV106" s="516"/>
      <c r="AW106" s="481"/>
      <c r="AX106" s="524"/>
      <c r="AY106" s="524"/>
      <c r="AZ106" s="516"/>
      <c r="BA106" s="481"/>
      <c r="BB106" s="524"/>
      <c r="BC106" s="524"/>
      <c r="BD106" s="516"/>
      <c r="BE106" s="481"/>
      <c r="BF106" s="499"/>
      <c r="BG106" s="499"/>
      <c r="BH106" s="526"/>
      <c r="BI106" s="481"/>
      <c r="BJ106" s="499"/>
      <c r="BK106" s="499"/>
      <c r="BL106" s="516"/>
      <c r="BM106" s="481"/>
      <c r="BN106" s="499"/>
      <c r="BO106" s="499"/>
      <c r="BP106" s="516"/>
      <c r="BQ106" s="481"/>
      <c r="BR106" s="499"/>
      <c r="BS106" s="499"/>
      <c r="BT106" s="516"/>
      <c r="BU106" s="481"/>
      <c r="BV106" s="499"/>
      <c r="BW106" s="499"/>
      <c r="BX106" s="516"/>
      <c r="BY106" s="481"/>
      <c r="BZ106" s="499"/>
      <c r="CA106" s="499"/>
      <c r="CB106" s="516"/>
      <c r="CC106" s="481"/>
      <c r="CD106" s="499"/>
      <c r="CE106" s="499"/>
      <c r="CF106" s="516"/>
      <c r="CG106" s="481"/>
      <c r="CH106" s="499"/>
      <c r="CI106" s="499"/>
      <c r="CJ106" s="516"/>
      <c r="CK106" s="481"/>
      <c r="CL106" s="499"/>
      <c r="CM106" s="499"/>
      <c r="CN106" s="516"/>
      <c r="CO106" s="481"/>
      <c r="CP106" s="499"/>
      <c r="CQ106" s="499"/>
      <c r="CR106" s="526"/>
      <c r="CS106" s="481"/>
      <c r="CT106" s="499"/>
      <c r="CU106" s="499"/>
      <c r="CV106" s="526"/>
      <c r="CW106" s="481"/>
      <c r="CX106" s="499"/>
      <c r="CY106" s="499"/>
      <c r="CZ106" s="516"/>
      <c r="DA106" s="481"/>
      <c r="DB106" s="499"/>
      <c r="DC106" s="499"/>
      <c r="DD106" s="526"/>
      <c r="DE106" s="481"/>
    </row>
    <row r="107" spans="1:109" ht="12.75">
      <c r="A107" s="504">
        <v>93</v>
      </c>
      <c r="B107" s="522" t="s">
        <v>519</v>
      </c>
      <c r="C107" s="371" t="s">
        <v>473</v>
      </c>
      <c r="D107" s="371" t="s">
        <v>474</v>
      </c>
      <c r="F107" s="548"/>
      <c r="G107" s="506">
        <f t="shared" si="4"/>
        <v>2481.5070961057477</v>
      </c>
      <c r="H107" s="507">
        <f t="shared" si="3"/>
        <v>2481.5070961057477</v>
      </c>
      <c r="I107" s="508">
        <v>3</v>
      </c>
      <c r="J107" s="524"/>
      <c r="K107" s="499"/>
      <c r="M107" s="491"/>
      <c r="N107" s="524"/>
      <c r="O107" s="499"/>
      <c r="P107" s="516"/>
      <c r="Q107" s="481"/>
      <c r="R107" s="524"/>
      <c r="S107" s="499"/>
      <c r="T107" s="516"/>
      <c r="U107" s="481"/>
      <c r="V107" s="524"/>
      <c r="W107" s="499"/>
      <c r="X107" s="516"/>
      <c r="Y107" s="481"/>
      <c r="Z107" s="509" t="s">
        <v>443</v>
      </c>
      <c r="AA107" s="509" t="s">
        <v>1</v>
      </c>
      <c r="AB107" s="520">
        <v>0.017453703703703704</v>
      </c>
      <c r="AC107" s="481">
        <v>747.8223740392826</v>
      </c>
      <c r="AD107" s="509" t="s">
        <v>443</v>
      </c>
      <c r="AE107" s="509" t="s">
        <v>1</v>
      </c>
      <c r="AF107" s="520">
        <v>0.07686342592592592</v>
      </c>
      <c r="AG107" s="481">
        <v>791.2443693693695</v>
      </c>
      <c r="AH107" s="509" t="s">
        <v>443</v>
      </c>
      <c r="AI107" s="509" t="s">
        <v>1</v>
      </c>
      <c r="AJ107" s="520">
        <v>0.04920138888888889</v>
      </c>
      <c r="AK107" s="481">
        <v>942.4403526970954</v>
      </c>
      <c r="AL107" s="524"/>
      <c r="AM107" s="537"/>
      <c r="AN107" s="526"/>
      <c r="AO107" s="481"/>
      <c r="AP107" s="524"/>
      <c r="AQ107" s="524"/>
      <c r="AR107" s="535"/>
      <c r="AS107" s="481"/>
      <c r="AT107" s="499"/>
      <c r="AU107" s="499"/>
      <c r="AV107" s="526"/>
      <c r="AW107" s="481"/>
      <c r="AX107" s="499"/>
      <c r="AY107" s="499"/>
      <c r="AZ107" s="526"/>
      <c r="BA107" s="481"/>
      <c r="BB107" s="499"/>
      <c r="BC107" s="499"/>
      <c r="BD107" s="516"/>
      <c r="BE107" s="481"/>
      <c r="BF107" s="499"/>
      <c r="BG107" s="499"/>
      <c r="BH107" s="526"/>
      <c r="BI107" s="481"/>
      <c r="BJ107" s="499"/>
      <c r="BK107" s="499"/>
      <c r="BL107" s="516"/>
      <c r="BM107" s="491"/>
      <c r="BN107" s="499"/>
      <c r="BO107" s="499"/>
      <c r="BP107" s="516"/>
      <c r="BQ107" s="481"/>
      <c r="BR107" s="499"/>
      <c r="BS107" s="499"/>
      <c r="BT107" s="526"/>
      <c r="BU107" s="481"/>
      <c r="BV107" s="499"/>
      <c r="BW107" s="499"/>
      <c r="BX107" s="516"/>
      <c r="BY107" s="481"/>
      <c r="BZ107" s="499"/>
      <c r="CA107" s="499"/>
      <c r="CB107" s="516"/>
      <c r="CC107" s="481"/>
      <c r="CD107" s="499"/>
      <c r="CE107" s="499"/>
      <c r="CF107" s="516"/>
      <c r="CG107" s="481"/>
      <c r="CH107" s="499"/>
      <c r="CI107" s="499"/>
      <c r="CJ107" s="516"/>
      <c r="CK107" s="481"/>
      <c r="CL107" s="499"/>
      <c r="CM107" s="499"/>
      <c r="CN107" s="516"/>
      <c r="CO107" s="481"/>
      <c r="CP107" s="499"/>
      <c r="CQ107" s="499"/>
      <c r="CR107" s="516"/>
      <c r="CS107" s="481"/>
      <c r="CT107" s="499"/>
      <c r="CU107" s="499"/>
      <c r="CV107" s="516"/>
      <c r="CW107" s="481"/>
      <c r="CX107" s="499"/>
      <c r="CY107" s="499"/>
      <c r="CZ107" s="516"/>
      <c r="DA107" s="481"/>
      <c r="DB107" s="499"/>
      <c r="DC107" s="499"/>
      <c r="DD107" s="526"/>
      <c r="DE107" s="481"/>
    </row>
    <row r="108" spans="1:109" ht="12.75">
      <c r="A108" s="504">
        <v>94</v>
      </c>
      <c r="B108" s="519" t="s">
        <v>575</v>
      </c>
      <c r="C108" s="371" t="s">
        <v>10</v>
      </c>
      <c r="D108" s="371" t="s">
        <v>809</v>
      </c>
      <c r="E108" s="495" t="s">
        <v>359</v>
      </c>
      <c r="F108" s="548">
        <v>2005</v>
      </c>
      <c r="G108" s="506">
        <f>H108-AW108-BE108-BI108-BM108-DE108</f>
        <v>2474.0036782256066</v>
      </c>
      <c r="H108" s="507">
        <f t="shared" si="3"/>
        <v>2514.0036782256066</v>
      </c>
      <c r="I108" s="508">
        <v>17</v>
      </c>
      <c r="J108" s="524" t="s">
        <v>574</v>
      </c>
      <c r="K108" s="499" t="s">
        <v>158</v>
      </c>
      <c r="L108" s="516">
        <v>0.05251157407407408</v>
      </c>
      <c r="M108" s="481">
        <v>390.4198357164586</v>
      </c>
      <c r="N108" s="524"/>
      <c r="O108" s="499"/>
      <c r="Q108" s="491"/>
      <c r="R108" s="524"/>
      <c r="S108" s="499"/>
      <c r="U108" s="481"/>
      <c r="V108" s="524"/>
      <c r="W108" s="499"/>
      <c r="Y108" s="481"/>
      <c r="Z108" s="524"/>
      <c r="AA108" s="499"/>
      <c r="AC108" s="481"/>
      <c r="AD108" s="524"/>
      <c r="AE108" s="524"/>
      <c r="AG108" s="491"/>
      <c r="AH108" s="524"/>
      <c r="AI108" s="524"/>
      <c r="AK108" s="481"/>
      <c r="AL108" s="509" t="s">
        <v>644</v>
      </c>
      <c r="AM108" s="509" t="s">
        <v>627</v>
      </c>
      <c r="AN108" s="513">
        <v>0.08283564814814814</v>
      </c>
      <c r="AO108" s="481">
        <v>189.44020356234105</v>
      </c>
      <c r="AP108" s="509" t="s">
        <v>644</v>
      </c>
      <c r="AQ108" s="509" t="s">
        <v>173</v>
      </c>
      <c r="AR108" s="513">
        <v>0.03395833333333333</v>
      </c>
      <c r="AS108" s="481">
        <v>18.43163538874002</v>
      </c>
      <c r="AT108" s="509" t="s">
        <v>216</v>
      </c>
      <c r="AU108" s="509" t="s">
        <v>173</v>
      </c>
      <c r="AV108" s="513">
        <v>0.022083333333333333</v>
      </c>
      <c r="AW108" s="546">
        <v>10</v>
      </c>
      <c r="AX108" s="509" t="s">
        <v>216</v>
      </c>
      <c r="AY108" s="509" t="s">
        <v>173</v>
      </c>
      <c r="AZ108" s="513">
        <v>0.02377314814814815</v>
      </c>
      <c r="BA108" s="481">
        <v>52.45143385753909</v>
      </c>
      <c r="BB108" s="509" t="s">
        <v>216</v>
      </c>
      <c r="BC108" s="509" t="s">
        <v>173</v>
      </c>
      <c r="BD108" s="513">
        <v>0.021608796296296296</v>
      </c>
      <c r="BE108" s="546">
        <v>10</v>
      </c>
      <c r="BF108" s="509" t="s">
        <v>739</v>
      </c>
      <c r="BG108" s="509" t="s">
        <v>158</v>
      </c>
      <c r="BH108" s="513">
        <v>0.07700231481481482</v>
      </c>
      <c r="BI108" s="546">
        <v>10</v>
      </c>
      <c r="BJ108" s="509" t="s">
        <v>739</v>
      </c>
      <c r="BK108" s="509" t="s">
        <v>158</v>
      </c>
      <c r="BL108" s="513">
        <v>0.02359953703703704</v>
      </c>
      <c r="BM108" s="546">
        <v>10</v>
      </c>
      <c r="BN108" s="509" t="s">
        <v>739</v>
      </c>
      <c r="BO108" s="509" t="s">
        <v>158</v>
      </c>
      <c r="BP108" s="513">
        <v>0.11365740740740742</v>
      </c>
      <c r="BQ108" s="546">
        <v>10</v>
      </c>
      <c r="BR108" s="509" t="s">
        <v>739</v>
      </c>
      <c r="BS108" s="509" t="s">
        <v>158</v>
      </c>
      <c r="BT108" s="513">
        <v>0.04811342592592593</v>
      </c>
      <c r="BU108" s="481">
        <v>9.698996655518144</v>
      </c>
      <c r="BV108" s="499"/>
      <c r="BW108" s="499"/>
      <c r="BX108" s="516"/>
      <c r="BY108" s="481"/>
      <c r="BZ108" s="499"/>
      <c r="CA108" s="499"/>
      <c r="CB108" s="516"/>
      <c r="CC108" s="481"/>
      <c r="CD108" s="509" t="s">
        <v>644</v>
      </c>
      <c r="CE108" s="509" t="s">
        <v>172</v>
      </c>
      <c r="CF108" s="513">
        <v>0.055254629629629626</v>
      </c>
      <c r="CG108" s="481">
        <v>23.3580246913582</v>
      </c>
      <c r="CH108" s="499" t="s">
        <v>780</v>
      </c>
      <c r="CI108" s="499" t="s">
        <v>158</v>
      </c>
      <c r="CJ108" s="525">
        <v>0.01642361111111111</v>
      </c>
      <c r="CK108" s="481">
        <v>126.53846153846172</v>
      </c>
      <c r="CL108" s="499" t="s">
        <v>780</v>
      </c>
      <c r="CM108" s="499" t="s">
        <v>158</v>
      </c>
      <c r="CN108" s="513">
        <v>0.11989583333333333</v>
      </c>
      <c r="CO108" s="481">
        <v>10</v>
      </c>
      <c r="CP108" s="499" t="s">
        <v>845</v>
      </c>
      <c r="CQ108" s="499" t="s">
        <v>158</v>
      </c>
      <c r="CR108" s="513">
        <v>0.03920138888888889</v>
      </c>
      <c r="CS108" s="481">
        <v>630.9763217645151</v>
      </c>
      <c r="CT108" s="499" t="s">
        <v>845</v>
      </c>
      <c r="CU108" s="499" t="s">
        <v>158</v>
      </c>
      <c r="CV108" s="513">
        <v>0.01267361111111111</v>
      </c>
      <c r="CW108" s="481">
        <v>533.8983050847459</v>
      </c>
      <c r="CX108" s="499" t="s">
        <v>397</v>
      </c>
      <c r="CY108" s="499" t="s">
        <v>158</v>
      </c>
      <c r="CZ108" s="516">
        <v>0.03576388888888889</v>
      </c>
      <c r="DA108" s="481">
        <v>478.79045996592856</v>
      </c>
      <c r="DB108" s="499" t="s">
        <v>397</v>
      </c>
      <c r="DC108" s="499" t="s">
        <v>158</v>
      </c>
      <c r="DD108" s="513" t="s">
        <v>358</v>
      </c>
      <c r="DE108" s="546">
        <v>0</v>
      </c>
    </row>
    <row r="109" spans="1:109" ht="12.75">
      <c r="A109" s="504">
        <v>95</v>
      </c>
      <c r="B109" s="522" t="s">
        <v>521</v>
      </c>
      <c r="C109" s="371" t="s">
        <v>470</v>
      </c>
      <c r="D109" s="371" t="s">
        <v>471</v>
      </c>
      <c r="F109" s="548"/>
      <c r="G109" s="506">
        <f>H109</f>
        <v>2471.454017529405</v>
      </c>
      <c r="H109" s="507">
        <f t="shared" si="3"/>
        <v>2471.454017529405</v>
      </c>
      <c r="I109" s="508">
        <v>3</v>
      </c>
      <c r="J109" s="524"/>
      <c r="K109" s="499"/>
      <c r="M109" s="491"/>
      <c r="N109" s="524"/>
      <c r="O109" s="499"/>
      <c r="P109" s="516"/>
      <c r="Q109" s="481"/>
      <c r="R109" s="524"/>
      <c r="S109" s="499"/>
      <c r="T109" s="516"/>
      <c r="U109" s="481"/>
      <c r="V109" s="524"/>
      <c r="W109" s="499"/>
      <c r="X109" s="516"/>
      <c r="Y109" s="481"/>
      <c r="Z109" s="509" t="s">
        <v>443</v>
      </c>
      <c r="AA109" s="509" t="s">
        <v>1</v>
      </c>
      <c r="AB109" s="520">
        <v>0.018310185185185186</v>
      </c>
      <c r="AC109" s="481">
        <v>681.4688300597778</v>
      </c>
      <c r="AD109" s="509" t="s">
        <v>443</v>
      </c>
      <c r="AE109" s="509" t="s">
        <v>1</v>
      </c>
      <c r="AF109" s="520">
        <v>0.07873842592592593</v>
      </c>
      <c r="AG109" s="481">
        <v>759.3186936936936</v>
      </c>
      <c r="AH109" s="509" t="s">
        <v>443</v>
      </c>
      <c r="AI109" s="509" t="s">
        <v>1</v>
      </c>
      <c r="AJ109" s="520">
        <v>0.04545138888888889</v>
      </c>
      <c r="AK109" s="481">
        <v>1030.6664937759338</v>
      </c>
      <c r="AL109" s="524"/>
      <c r="AM109" s="524"/>
      <c r="AO109" s="481"/>
      <c r="AP109" s="524"/>
      <c r="AQ109" s="468"/>
      <c r="AR109" s="516"/>
      <c r="AS109" s="481"/>
      <c r="AT109" s="499"/>
      <c r="AU109" s="499"/>
      <c r="AV109" s="526"/>
      <c r="AW109" s="481"/>
      <c r="AX109" s="499"/>
      <c r="AY109" s="499"/>
      <c r="AZ109" s="526"/>
      <c r="BA109" s="481"/>
      <c r="BB109" s="499"/>
      <c r="BC109" s="499"/>
      <c r="BD109" s="516"/>
      <c r="BE109" s="481"/>
      <c r="BF109" s="499"/>
      <c r="BG109" s="499"/>
      <c r="BH109" s="526"/>
      <c r="BI109" s="481"/>
      <c r="BJ109" s="499"/>
      <c r="BK109" s="499"/>
      <c r="BL109" s="516"/>
      <c r="BM109" s="481"/>
      <c r="BN109" s="499"/>
      <c r="BO109" s="499"/>
      <c r="BP109" s="526"/>
      <c r="BQ109" s="481"/>
      <c r="BR109" s="499"/>
      <c r="BS109" s="499"/>
      <c r="BT109" s="526"/>
      <c r="BU109" s="481"/>
      <c r="BV109" s="499"/>
      <c r="BW109" s="499"/>
      <c r="BX109" s="526"/>
      <c r="BY109" s="481"/>
      <c r="BZ109" s="499"/>
      <c r="CA109" s="499"/>
      <c r="CB109" s="526"/>
      <c r="CC109" s="481"/>
      <c r="CD109" s="499"/>
      <c r="CE109" s="499"/>
      <c r="CF109" s="526"/>
      <c r="CG109" s="481"/>
      <c r="CH109" s="499"/>
      <c r="CI109" s="499"/>
      <c r="CJ109" s="516"/>
      <c r="CK109" s="481"/>
      <c r="CL109" s="499"/>
      <c r="CM109" s="499"/>
      <c r="CN109" s="516"/>
      <c r="CO109" s="481"/>
      <c r="CP109" s="499"/>
      <c r="CQ109" s="499"/>
      <c r="CR109" s="513"/>
      <c r="CS109" s="515"/>
      <c r="CT109" s="509"/>
      <c r="CU109" s="509"/>
      <c r="CV109" s="513"/>
      <c r="CW109" s="515"/>
      <c r="CX109" s="499"/>
      <c r="CY109" s="499"/>
      <c r="CZ109" s="516"/>
      <c r="DA109" s="481"/>
      <c r="DB109" s="499"/>
      <c r="DC109" s="499"/>
      <c r="DD109" s="526"/>
      <c r="DE109" s="481"/>
    </row>
    <row r="110" spans="1:109" ht="12.75">
      <c r="A110" s="504">
        <v>96</v>
      </c>
      <c r="B110" s="505" t="s">
        <v>271</v>
      </c>
      <c r="C110" s="371" t="s">
        <v>10</v>
      </c>
      <c r="D110" s="371" t="s">
        <v>215</v>
      </c>
      <c r="E110" s="495" t="s">
        <v>360</v>
      </c>
      <c r="F110" s="548">
        <v>1977</v>
      </c>
      <c r="G110" s="506">
        <f>H110</f>
        <v>2454.3219944223483</v>
      </c>
      <c r="H110" s="507">
        <f t="shared" si="3"/>
        <v>2454.3219944223483</v>
      </c>
      <c r="I110" s="508">
        <v>6</v>
      </c>
      <c r="J110" s="524"/>
      <c r="K110" s="499"/>
      <c r="L110" s="526"/>
      <c r="M110" s="481"/>
      <c r="N110" s="524"/>
      <c r="O110" s="499"/>
      <c r="P110" s="516"/>
      <c r="Q110" s="481"/>
      <c r="R110" s="524"/>
      <c r="S110" s="499"/>
      <c r="T110" s="516"/>
      <c r="U110" s="481"/>
      <c r="V110" s="524"/>
      <c r="W110" s="499"/>
      <c r="X110" s="516"/>
      <c r="Y110" s="481"/>
      <c r="Z110" s="524"/>
      <c r="AA110" s="499"/>
      <c r="AB110" s="516"/>
      <c r="AC110" s="481"/>
      <c r="AD110" s="509" t="s">
        <v>396</v>
      </c>
      <c r="AE110" s="509" t="s">
        <v>158</v>
      </c>
      <c r="AF110" s="513">
        <v>0.08516203703703705</v>
      </c>
      <c r="AG110" s="481">
        <v>416.8240343347637</v>
      </c>
      <c r="AH110" s="524"/>
      <c r="AI110" s="524"/>
      <c r="AK110" s="481"/>
      <c r="AL110" s="509" t="s">
        <v>372</v>
      </c>
      <c r="AM110" s="509" t="s">
        <v>158</v>
      </c>
      <c r="AN110" s="513">
        <v>0.11055555555555556</v>
      </c>
      <c r="AO110" s="481">
        <v>282.45385832307954</v>
      </c>
      <c r="AP110" s="509" t="s">
        <v>372</v>
      </c>
      <c r="AQ110" s="509" t="s">
        <v>2</v>
      </c>
      <c r="AR110" s="513">
        <v>0.027476851851851853</v>
      </c>
      <c r="AS110" s="481">
        <v>472.8034504004929</v>
      </c>
      <c r="AT110" s="499"/>
      <c r="AU110" s="499"/>
      <c r="AV110" s="526"/>
      <c r="AW110" s="481"/>
      <c r="AX110" s="499"/>
      <c r="AY110" s="499"/>
      <c r="AZ110" s="526"/>
      <c r="BA110" s="481"/>
      <c r="BB110" s="499"/>
      <c r="BC110" s="499"/>
      <c r="BD110" s="516"/>
      <c r="BE110" s="481"/>
      <c r="BF110" s="499"/>
      <c r="BG110" s="499"/>
      <c r="BH110" s="526"/>
      <c r="BI110" s="481"/>
      <c r="BJ110" s="499"/>
      <c r="BK110" s="499"/>
      <c r="BL110" s="516"/>
      <c r="BM110" s="481"/>
      <c r="BN110" s="499"/>
      <c r="BO110" s="499"/>
      <c r="BP110" s="526"/>
      <c r="BQ110" s="481"/>
      <c r="BR110" s="499"/>
      <c r="BS110" s="499"/>
      <c r="BT110" s="526"/>
      <c r="BU110" s="481"/>
      <c r="BV110" s="499"/>
      <c r="BW110" s="499"/>
      <c r="BX110" s="516"/>
      <c r="BY110" s="481"/>
      <c r="BZ110" s="499"/>
      <c r="CA110" s="499"/>
      <c r="CB110" s="526"/>
      <c r="CC110" s="481"/>
      <c r="CD110" s="509" t="s">
        <v>372</v>
      </c>
      <c r="CE110" s="509" t="s">
        <v>2</v>
      </c>
      <c r="CF110" s="513">
        <v>0.05626157407407407</v>
      </c>
      <c r="CG110" s="481">
        <v>369.3368010403122</v>
      </c>
      <c r="CH110" s="499"/>
      <c r="CI110" s="499"/>
      <c r="CJ110" s="526"/>
      <c r="CK110" s="481"/>
      <c r="CL110" s="499"/>
      <c r="CM110" s="499"/>
      <c r="CN110" s="526"/>
      <c r="CO110" s="481"/>
      <c r="CP110" s="499"/>
      <c r="CQ110" s="499"/>
      <c r="CR110" s="520"/>
      <c r="CS110" s="515"/>
      <c r="CT110" s="509"/>
      <c r="CU110" s="509"/>
      <c r="CV110" s="520"/>
      <c r="CW110" s="515"/>
      <c r="CX110" s="499" t="s">
        <v>396</v>
      </c>
      <c r="CY110" s="499" t="s">
        <v>2</v>
      </c>
      <c r="CZ110" s="526">
        <v>0.06724537037037037</v>
      </c>
      <c r="DA110" s="481">
        <v>447.22222222222234</v>
      </c>
      <c r="DB110" s="499" t="s">
        <v>396</v>
      </c>
      <c r="DC110" s="499" t="s">
        <v>2</v>
      </c>
      <c r="DD110" s="526">
        <v>0.05886574074074074</v>
      </c>
      <c r="DE110" s="481">
        <v>465.6816281014775</v>
      </c>
    </row>
    <row r="111" spans="1:109" ht="12.75">
      <c r="A111" s="504">
        <v>97</v>
      </c>
      <c r="B111" s="505" t="s">
        <v>382</v>
      </c>
      <c r="C111" s="371" t="s">
        <v>10</v>
      </c>
      <c r="D111" s="371" t="s">
        <v>385</v>
      </c>
      <c r="E111" s="495" t="s">
        <v>375</v>
      </c>
      <c r="F111" s="548">
        <v>1956</v>
      </c>
      <c r="G111" s="506">
        <f>H111-CW111-AG111</f>
        <v>2425.3209095024586</v>
      </c>
      <c r="H111" s="507">
        <f t="shared" si="3"/>
        <v>2425.3209095024586</v>
      </c>
      <c r="I111" s="508">
        <v>14</v>
      </c>
      <c r="J111" s="524"/>
      <c r="K111" s="499"/>
      <c r="M111" s="491"/>
      <c r="N111" s="524"/>
      <c r="O111" s="499"/>
      <c r="Q111" s="491"/>
      <c r="R111" s="524"/>
      <c r="S111" s="499"/>
      <c r="U111" s="481"/>
      <c r="V111" s="524"/>
      <c r="W111" s="499"/>
      <c r="Y111" s="481"/>
      <c r="Z111" s="524" t="s">
        <v>579</v>
      </c>
      <c r="AA111" s="499" t="s">
        <v>172</v>
      </c>
      <c r="AB111" s="516">
        <v>0.020127314814814817</v>
      </c>
      <c r="AC111" s="481">
        <v>110.24999999999994</v>
      </c>
      <c r="AD111" s="524" t="s">
        <v>579</v>
      </c>
      <c r="AE111" s="499" t="s">
        <v>172</v>
      </c>
      <c r="AF111" s="498" t="s">
        <v>358</v>
      </c>
      <c r="AG111" s="546">
        <v>0</v>
      </c>
      <c r="AH111" s="524" t="s">
        <v>579</v>
      </c>
      <c r="AI111" s="499" t="s">
        <v>172</v>
      </c>
      <c r="AJ111" s="516">
        <v>0.050243055555555555</v>
      </c>
      <c r="AK111" s="481">
        <v>281.2388226527571</v>
      </c>
      <c r="AL111" s="509" t="s">
        <v>652</v>
      </c>
      <c r="AM111" s="509" t="s">
        <v>173</v>
      </c>
      <c r="AN111" s="513">
        <v>0.07184027777777778</v>
      </c>
      <c r="AO111" s="481">
        <v>586.2332079527137</v>
      </c>
      <c r="AP111" s="509" t="s">
        <v>652</v>
      </c>
      <c r="AQ111" s="509" t="s">
        <v>172</v>
      </c>
      <c r="AR111" s="513">
        <v>0.042847222222222224</v>
      </c>
      <c r="AS111" s="481">
        <v>263.65758754863793</v>
      </c>
      <c r="AT111" s="524"/>
      <c r="AU111" s="524"/>
      <c r="AV111" s="516"/>
      <c r="AW111" s="481"/>
      <c r="AX111" s="524"/>
      <c r="AY111" s="524"/>
      <c r="AZ111" s="526"/>
      <c r="BA111" s="481"/>
      <c r="BB111" s="524"/>
      <c r="BC111" s="524"/>
      <c r="BD111" s="516"/>
      <c r="BE111" s="481"/>
      <c r="BF111" s="509" t="s">
        <v>743</v>
      </c>
      <c r="BG111" s="509" t="s">
        <v>158</v>
      </c>
      <c r="BH111" s="513">
        <v>0.04407407407407407</v>
      </c>
      <c r="BI111" s="481">
        <v>151.47540983606572</v>
      </c>
      <c r="BJ111" s="509" t="s">
        <v>743</v>
      </c>
      <c r="BK111" s="509" t="s">
        <v>158</v>
      </c>
      <c r="BL111" s="513">
        <v>0.026516203703703698</v>
      </c>
      <c r="BM111" s="481">
        <v>10</v>
      </c>
      <c r="BN111" s="509" t="s">
        <v>743</v>
      </c>
      <c r="BO111" s="509" t="s">
        <v>158</v>
      </c>
      <c r="BP111" s="509" t="s">
        <v>358</v>
      </c>
      <c r="BQ111" s="481">
        <v>0</v>
      </c>
      <c r="BR111" s="509" t="s">
        <v>743</v>
      </c>
      <c r="BS111" s="509" t="s">
        <v>158</v>
      </c>
      <c r="BT111" s="513">
        <v>0.049074074074074076</v>
      </c>
      <c r="BU111" s="481">
        <v>10</v>
      </c>
      <c r="BV111" s="499"/>
      <c r="BW111" s="499"/>
      <c r="BX111" s="516"/>
      <c r="BY111" s="481"/>
      <c r="BZ111" s="499"/>
      <c r="CA111" s="499"/>
      <c r="CB111" s="516"/>
      <c r="CC111" s="481"/>
      <c r="CD111" s="509" t="s">
        <v>652</v>
      </c>
      <c r="CE111" s="509" t="s">
        <v>158</v>
      </c>
      <c r="CF111" s="512">
        <v>0.04109953703703704</v>
      </c>
      <c r="CG111" s="481">
        <v>687.4056750857499</v>
      </c>
      <c r="CH111" s="499"/>
      <c r="CI111" s="499"/>
      <c r="CJ111" s="516"/>
      <c r="CK111" s="481"/>
      <c r="CL111" s="499"/>
      <c r="CM111" s="499"/>
      <c r="CN111" s="516"/>
      <c r="CO111" s="481"/>
      <c r="CP111" s="499" t="s">
        <v>855</v>
      </c>
      <c r="CQ111" s="499" t="s">
        <v>2</v>
      </c>
      <c r="CR111" s="513">
        <v>0.06552083333333333</v>
      </c>
      <c r="CS111" s="481">
        <v>178.5310734463277</v>
      </c>
      <c r="CT111" s="499" t="s">
        <v>855</v>
      </c>
      <c r="CU111" s="499" t="s">
        <v>2</v>
      </c>
      <c r="CV111" s="509" t="s">
        <v>358</v>
      </c>
      <c r="CW111" s="546">
        <v>0</v>
      </c>
      <c r="CX111" s="499" t="s">
        <v>872</v>
      </c>
      <c r="CY111" s="499" t="s">
        <v>2</v>
      </c>
      <c r="CZ111" s="516" t="s">
        <v>358</v>
      </c>
      <c r="DA111" s="481">
        <v>0</v>
      </c>
      <c r="DB111" s="499" t="s">
        <v>872</v>
      </c>
      <c r="DC111" s="499" t="s">
        <v>2</v>
      </c>
      <c r="DD111" s="513">
        <v>0.07542824074074074</v>
      </c>
      <c r="DE111" s="481">
        <v>146.52913298020619</v>
      </c>
    </row>
    <row r="112" spans="1:109" ht="12.75">
      <c r="A112" s="504">
        <v>98</v>
      </c>
      <c r="B112" s="522" t="s">
        <v>515</v>
      </c>
      <c r="C112" s="371" t="s">
        <v>473</v>
      </c>
      <c r="D112" s="371" t="s">
        <v>474</v>
      </c>
      <c r="G112" s="506">
        <f aca="true" t="shared" si="5" ref="G112:G143">H112</f>
        <v>2422.7833057295547</v>
      </c>
      <c r="H112" s="507">
        <f t="shared" si="3"/>
        <v>2422.7833057295547</v>
      </c>
      <c r="I112" s="508">
        <v>3</v>
      </c>
      <c r="J112" s="524"/>
      <c r="K112" s="499"/>
      <c r="M112" s="491"/>
      <c r="N112" s="524"/>
      <c r="O112" s="499"/>
      <c r="P112" s="516"/>
      <c r="Q112" s="481"/>
      <c r="R112" s="524"/>
      <c r="S112" s="499"/>
      <c r="T112" s="516"/>
      <c r="U112" s="481"/>
      <c r="V112" s="524"/>
      <c r="W112" s="499"/>
      <c r="X112" s="516"/>
      <c r="Y112" s="481"/>
      <c r="Z112" s="509" t="s">
        <v>443</v>
      </c>
      <c r="AA112" s="509" t="s">
        <v>1</v>
      </c>
      <c r="AB112" s="520">
        <v>0.017013888888888887</v>
      </c>
      <c r="AC112" s="481">
        <v>781.8958155422717</v>
      </c>
      <c r="AD112" s="509" t="s">
        <v>443</v>
      </c>
      <c r="AE112" s="509" t="s">
        <v>1</v>
      </c>
      <c r="AF112" s="520">
        <v>0.07607638888888889</v>
      </c>
      <c r="AG112" s="481">
        <v>804.6452702702703</v>
      </c>
      <c r="AH112" s="509" t="s">
        <v>443</v>
      </c>
      <c r="AI112" s="509" t="s">
        <v>1</v>
      </c>
      <c r="AJ112" s="520">
        <v>0.05371527777777777</v>
      </c>
      <c r="AK112" s="481">
        <v>836.2422199170126</v>
      </c>
      <c r="AL112" s="524"/>
      <c r="AM112" s="537"/>
      <c r="AN112" s="516"/>
      <c r="AO112" s="481"/>
      <c r="AP112" s="524"/>
      <c r="AQ112" s="524"/>
      <c r="AR112" s="535"/>
      <c r="AS112" s="481"/>
      <c r="AT112" s="499"/>
      <c r="AU112" s="499"/>
      <c r="AV112" s="526"/>
      <c r="AW112" s="481"/>
      <c r="AX112" s="499"/>
      <c r="AY112" s="499"/>
      <c r="AZ112" s="516"/>
      <c r="BA112" s="481"/>
      <c r="BB112" s="499"/>
      <c r="BC112" s="499"/>
      <c r="BD112" s="516"/>
      <c r="BE112" s="481"/>
      <c r="BF112" s="499"/>
      <c r="BG112" s="499"/>
      <c r="BH112" s="526"/>
      <c r="BI112" s="481"/>
      <c r="BJ112" s="499"/>
      <c r="BK112" s="499"/>
      <c r="BL112" s="516"/>
      <c r="BM112" s="491"/>
      <c r="BN112" s="499"/>
      <c r="BO112" s="499"/>
      <c r="BP112" s="526"/>
      <c r="BQ112" s="481"/>
      <c r="BR112" s="499"/>
      <c r="BS112" s="499"/>
      <c r="BT112" s="526"/>
      <c r="BU112" s="481"/>
      <c r="BV112" s="499"/>
      <c r="BW112" s="499"/>
      <c r="BX112" s="526"/>
      <c r="BY112" s="481"/>
      <c r="BZ112" s="499"/>
      <c r="CA112" s="499"/>
      <c r="CB112" s="526"/>
      <c r="CC112" s="481"/>
      <c r="CD112" s="499"/>
      <c r="CE112" s="499"/>
      <c r="CF112" s="516"/>
      <c r="CG112" s="481"/>
      <c r="CH112" s="499"/>
      <c r="CI112" s="499"/>
      <c r="CJ112" s="526"/>
      <c r="CK112" s="481"/>
      <c r="CL112" s="499"/>
      <c r="CM112" s="499"/>
      <c r="CN112" s="526"/>
      <c r="CO112" s="481"/>
      <c r="CP112" s="499"/>
      <c r="CQ112" s="499"/>
      <c r="CR112" s="520"/>
      <c r="CS112" s="515"/>
      <c r="CT112" s="509"/>
      <c r="CU112" s="509"/>
      <c r="CV112" s="520"/>
      <c r="CW112" s="515"/>
      <c r="CX112" s="499"/>
      <c r="CY112" s="499"/>
      <c r="CZ112" s="516"/>
      <c r="DA112" s="481"/>
      <c r="DB112" s="499"/>
      <c r="DC112" s="499"/>
      <c r="DD112" s="526"/>
      <c r="DE112" s="481"/>
    </row>
    <row r="113" spans="1:109" ht="12.75">
      <c r="A113" s="504">
        <v>99</v>
      </c>
      <c r="B113" s="522" t="s">
        <v>520</v>
      </c>
      <c r="C113" s="371" t="s">
        <v>470</v>
      </c>
      <c r="D113" s="371" t="s">
        <v>471</v>
      </c>
      <c r="F113" s="548"/>
      <c r="G113" s="506">
        <f t="shared" si="5"/>
        <v>2401.459750133925</v>
      </c>
      <c r="H113" s="507">
        <f t="shared" si="3"/>
        <v>2401.459750133925</v>
      </c>
      <c r="I113" s="508">
        <v>3</v>
      </c>
      <c r="J113" s="524"/>
      <c r="K113" s="499"/>
      <c r="M113" s="491"/>
      <c r="N113" s="524"/>
      <c r="O113" s="499"/>
      <c r="P113" s="516"/>
      <c r="Q113" s="481"/>
      <c r="R113" s="524"/>
      <c r="S113" s="499"/>
      <c r="T113" s="516"/>
      <c r="U113" s="481"/>
      <c r="V113" s="524"/>
      <c r="W113" s="499"/>
      <c r="X113" s="516"/>
      <c r="Y113" s="481"/>
      <c r="Z113" s="509" t="s">
        <v>443</v>
      </c>
      <c r="AA113" s="509" t="s">
        <v>1</v>
      </c>
      <c r="AB113" s="520">
        <v>0.01792824074074074</v>
      </c>
      <c r="AC113" s="481">
        <v>711.0589239965841</v>
      </c>
      <c r="AD113" s="509" t="s">
        <v>443</v>
      </c>
      <c r="AE113" s="509" t="s">
        <v>1</v>
      </c>
      <c r="AF113" s="520">
        <v>0.07908564814814815</v>
      </c>
      <c r="AG113" s="481">
        <v>753.4065315315315</v>
      </c>
      <c r="AH113" s="509" t="s">
        <v>443</v>
      </c>
      <c r="AI113" s="509" t="s">
        <v>1</v>
      </c>
      <c r="AJ113" s="520">
        <v>0.04943287037037037</v>
      </c>
      <c r="AK113" s="481">
        <v>936.994294605809</v>
      </c>
      <c r="AL113" s="524"/>
      <c r="AM113" s="537"/>
      <c r="AN113" s="526"/>
      <c r="AO113" s="481"/>
      <c r="AP113" s="524"/>
      <c r="AQ113" s="524"/>
      <c r="AR113" s="535"/>
      <c r="AS113" s="481"/>
      <c r="AT113" s="524"/>
      <c r="AU113" s="524"/>
      <c r="AV113" s="516"/>
      <c r="AW113" s="481"/>
      <c r="AX113" s="524"/>
      <c r="AY113" s="524"/>
      <c r="AZ113" s="516"/>
      <c r="BA113" s="481"/>
      <c r="BB113" s="524"/>
      <c r="BC113" s="524"/>
      <c r="BD113" s="516"/>
      <c r="BE113" s="481"/>
      <c r="BF113" s="499"/>
      <c r="BG113" s="499"/>
      <c r="BH113" s="516"/>
      <c r="BI113" s="481"/>
      <c r="BJ113" s="499"/>
      <c r="BK113" s="499"/>
      <c r="BL113" s="516"/>
      <c r="BM113" s="481"/>
      <c r="BN113" s="499"/>
      <c r="BO113" s="499"/>
      <c r="BP113" s="526"/>
      <c r="BQ113" s="481"/>
      <c r="BR113" s="499"/>
      <c r="BS113" s="499"/>
      <c r="BT113" s="526"/>
      <c r="BU113" s="481"/>
      <c r="BV113" s="499"/>
      <c r="BW113" s="499"/>
      <c r="BX113" s="526"/>
      <c r="BY113" s="481"/>
      <c r="BZ113" s="499"/>
      <c r="CA113" s="499"/>
      <c r="CB113" s="526"/>
      <c r="CC113" s="481"/>
      <c r="CD113" s="499"/>
      <c r="CE113" s="499"/>
      <c r="CF113" s="516"/>
      <c r="CG113" s="481"/>
      <c r="CH113" s="499"/>
      <c r="CI113" s="499"/>
      <c r="CJ113" s="516"/>
      <c r="CK113" s="481"/>
      <c r="CL113" s="499"/>
      <c r="CM113" s="499"/>
      <c r="CN113" s="516"/>
      <c r="CO113" s="481"/>
      <c r="CP113" s="499"/>
      <c r="CQ113" s="499"/>
      <c r="CR113" s="520"/>
      <c r="CS113" s="515"/>
      <c r="CT113" s="509"/>
      <c r="CU113" s="509"/>
      <c r="CV113" s="520"/>
      <c r="CW113" s="515"/>
      <c r="CX113" s="499"/>
      <c r="CY113" s="499"/>
      <c r="CZ113" s="516"/>
      <c r="DA113" s="481"/>
      <c r="DB113" s="499"/>
      <c r="DC113" s="499"/>
      <c r="DD113" s="516"/>
      <c r="DE113" s="481"/>
    </row>
    <row r="114" spans="1:111" ht="12.75">
      <c r="A114" s="504">
        <v>100</v>
      </c>
      <c r="B114" s="522" t="s">
        <v>561</v>
      </c>
      <c r="C114" s="371" t="s">
        <v>473</v>
      </c>
      <c r="D114" s="371" t="s">
        <v>474</v>
      </c>
      <c r="F114" s="548"/>
      <c r="G114" s="506">
        <f t="shared" si="5"/>
        <v>2359.2103147720554</v>
      </c>
      <c r="H114" s="507">
        <f t="shared" si="3"/>
        <v>2359.2103147720554</v>
      </c>
      <c r="I114" s="508">
        <v>3</v>
      </c>
      <c r="J114" s="524"/>
      <c r="K114" s="499"/>
      <c r="M114" s="491"/>
      <c r="N114" s="524"/>
      <c r="O114" s="499"/>
      <c r="P114" s="516"/>
      <c r="Q114" s="481"/>
      <c r="R114" s="524"/>
      <c r="S114" s="499"/>
      <c r="T114" s="516"/>
      <c r="U114" s="481"/>
      <c r="V114" s="524"/>
      <c r="W114" s="499"/>
      <c r="X114" s="516"/>
      <c r="Y114" s="481"/>
      <c r="Z114" s="509" t="s">
        <v>568</v>
      </c>
      <c r="AA114" s="509" t="s">
        <v>2</v>
      </c>
      <c r="AB114" s="513">
        <v>0.013020833333333334</v>
      </c>
      <c r="AC114" s="481">
        <v>823.2543103448276</v>
      </c>
      <c r="AD114" s="509" t="s">
        <v>568</v>
      </c>
      <c r="AE114" s="509" t="s">
        <v>2</v>
      </c>
      <c r="AF114" s="513">
        <v>0.058541666666666665</v>
      </c>
      <c r="AG114" s="481">
        <v>829.8021582733812</v>
      </c>
      <c r="AH114" s="509" t="s">
        <v>568</v>
      </c>
      <c r="AI114" s="509" t="s">
        <v>2</v>
      </c>
      <c r="AJ114" s="513">
        <v>0.04456018518518518</v>
      </c>
      <c r="AK114" s="481">
        <v>706.1538461538465</v>
      </c>
      <c r="AL114" s="524"/>
      <c r="AM114" s="524"/>
      <c r="AO114" s="481"/>
      <c r="AP114" s="524"/>
      <c r="AQ114" s="524"/>
      <c r="AR114" s="498"/>
      <c r="AS114" s="481"/>
      <c r="AT114" s="499"/>
      <c r="AU114" s="499"/>
      <c r="AV114" s="516"/>
      <c r="AW114" s="481"/>
      <c r="AX114" s="499"/>
      <c r="AY114" s="499"/>
      <c r="AZ114" s="516"/>
      <c r="BA114" s="481"/>
      <c r="BB114" s="499"/>
      <c r="BC114" s="499"/>
      <c r="BD114" s="516"/>
      <c r="BE114" s="481"/>
      <c r="BF114" s="499"/>
      <c r="BG114" s="499"/>
      <c r="BH114" s="526"/>
      <c r="BI114" s="481"/>
      <c r="BJ114" s="499"/>
      <c r="BK114" s="499"/>
      <c r="BL114" s="516"/>
      <c r="BM114" s="491"/>
      <c r="BN114" s="499"/>
      <c r="BO114" s="499"/>
      <c r="BP114" s="526"/>
      <c r="BQ114" s="481"/>
      <c r="BR114" s="499"/>
      <c r="BS114" s="499"/>
      <c r="BT114" s="526"/>
      <c r="BU114" s="481"/>
      <c r="BV114" s="499"/>
      <c r="BW114" s="499"/>
      <c r="BX114" s="526"/>
      <c r="BY114" s="481"/>
      <c r="BZ114" s="499"/>
      <c r="CA114" s="499"/>
      <c r="CB114" s="526"/>
      <c r="CC114" s="481"/>
      <c r="CD114" s="499"/>
      <c r="CE114" s="499"/>
      <c r="CF114" s="526"/>
      <c r="CG114" s="481"/>
      <c r="CH114" s="499"/>
      <c r="CI114" s="499"/>
      <c r="CJ114" s="516"/>
      <c r="CK114" s="481"/>
      <c r="CL114" s="499"/>
      <c r="CM114" s="499"/>
      <c r="CN114" s="516"/>
      <c r="CO114" s="481"/>
      <c r="CP114" s="499"/>
      <c r="CQ114" s="499"/>
      <c r="CR114" s="516"/>
      <c r="CS114" s="481"/>
      <c r="CT114" s="499"/>
      <c r="CU114" s="499"/>
      <c r="CV114" s="516"/>
      <c r="CW114" s="481"/>
      <c r="CX114" s="499"/>
      <c r="CY114" s="499"/>
      <c r="CZ114" s="526"/>
      <c r="DA114" s="481"/>
      <c r="DB114" s="499"/>
      <c r="DC114" s="499"/>
      <c r="DD114" s="516"/>
      <c r="DE114" s="481"/>
      <c r="DF114" s="494"/>
      <c r="DG114" s="494"/>
    </row>
    <row r="115" spans="1:111" ht="12.75">
      <c r="A115" s="504">
        <v>101</v>
      </c>
      <c r="B115" s="505" t="s">
        <v>125</v>
      </c>
      <c r="C115" s="371" t="s">
        <v>95</v>
      </c>
      <c r="D115" s="371" t="s">
        <v>522</v>
      </c>
      <c r="F115" s="190">
        <v>1975</v>
      </c>
      <c r="G115" s="506">
        <f t="shared" si="5"/>
        <v>2335.3096261736446</v>
      </c>
      <c r="H115" s="507">
        <f t="shared" si="3"/>
        <v>2335.3096261736446</v>
      </c>
      <c r="I115" s="508">
        <v>6</v>
      </c>
      <c r="J115" s="524"/>
      <c r="K115" s="499"/>
      <c r="M115" s="481"/>
      <c r="N115" s="524"/>
      <c r="O115" s="499"/>
      <c r="P115" s="516"/>
      <c r="Q115" s="481"/>
      <c r="R115" s="524"/>
      <c r="S115" s="499"/>
      <c r="U115" s="481"/>
      <c r="V115" s="524"/>
      <c r="W115" s="499"/>
      <c r="Y115" s="491"/>
      <c r="Z115" s="509" t="s">
        <v>443</v>
      </c>
      <c r="AA115" s="509" t="s">
        <v>1</v>
      </c>
      <c r="AB115" s="520">
        <v>0.02460648148148148</v>
      </c>
      <c r="AC115" s="481">
        <v>193.68061485909496</v>
      </c>
      <c r="AD115" s="509" t="s">
        <v>443</v>
      </c>
      <c r="AE115" s="509" t="s">
        <v>1</v>
      </c>
      <c r="AF115" s="520">
        <v>0.09171296296296295</v>
      </c>
      <c r="AG115" s="481">
        <v>538.4009009009011</v>
      </c>
      <c r="AH115" s="509" t="s">
        <v>443</v>
      </c>
      <c r="AI115" s="509" t="s">
        <v>1</v>
      </c>
      <c r="AJ115" s="501" t="s">
        <v>358</v>
      </c>
      <c r="AK115" s="481">
        <v>0</v>
      </c>
      <c r="AL115" s="524"/>
      <c r="AM115" s="537"/>
      <c r="AN115" s="526"/>
      <c r="AO115" s="481"/>
      <c r="AP115" s="524"/>
      <c r="AQ115" s="498"/>
      <c r="AR115" s="526"/>
      <c r="AS115" s="481"/>
      <c r="AT115" s="509" t="s">
        <v>377</v>
      </c>
      <c r="AU115" s="509" t="s">
        <v>1</v>
      </c>
      <c r="AV115" s="513">
        <v>0.035937500000000004</v>
      </c>
      <c r="AW115" s="481">
        <v>131.25</v>
      </c>
      <c r="AX115" s="509" t="s">
        <v>377</v>
      </c>
      <c r="AY115" s="509" t="s">
        <v>1</v>
      </c>
      <c r="AZ115" s="513">
        <v>0.04358796296296297</v>
      </c>
      <c r="BA115" s="481">
        <v>684.2105263157893</v>
      </c>
      <c r="BB115" s="509" t="s">
        <v>377</v>
      </c>
      <c r="BC115" s="509" t="s">
        <v>1</v>
      </c>
      <c r="BD115" s="513">
        <v>0.05675925925925926</v>
      </c>
      <c r="BE115" s="481">
        <v>787.7675840978594</v>
      </c>
      <c r="BF115" s="499"/>
      <c r="BG115" s="499"/>
      <c r="BH115" s="526"/>
      <c r="BI115" s="481"/>
      <c r="BJ115" s="499"/>
      <c r="BK115" s="499"/>
      <c r="BL115" s="516"/>
      <c r="BM115" s="491"/>
      <c r="BN115" s="499"/>
      <c r="BO115" s="499"/>
      <c r="BP115" s="498"/>
      <c r="BQ115" s="481"/>
      <c r="BR115" s="499"/>
      <c r="BS115" s="499"/>
      <c r="BT115" s="526"/>
      <c r="BU115" s="481"/>
      <c r="BV115" s="499"/>
      <c r="BW115" s="499"/>
      <c r="BX115" s="516"/>
      <c r="BY115" s="481"/>
      <c r="BZ115" s="499"/>
      <c r="CA115" s="499"/>
      <c r="CB115" s="516"/>
      <c r="CC115" s="481"/>
      <c r="CD115" s="499"/>
      <c r="CE115" s="499"/>
      <c r="CF115" s="516"/>
      <c r="CG115" s="481"/>
      <c r="CH115" s="499"/>
      <c r="CI115" s="499"/>
      <c r="CJ115" s="516"/>
      <c r="CK115" s="481"/>
      <c r="CL115" s="499"/>
      <c r="CM115" s="499"/>
      <c r="CN115" s="516"/>
      <c r="CO115" s="481"/>
      <c r="CP115" s="499"/>
      <c r="CQ115" s="499"/>
      <c r="CR115" s="526"/>
      <c r="CS115" s="481"/>
      <c r="CT115" s="499"/>
      <c r="CU115" s="499"/>
      <c r="CV115" s="526"/>
      <c r="CW115" s="481"/>
      <c r="CX115" s="499"/>
      <c r="CY115" s="499"/>
      <c r="CZ115" s="526"/>
      <c r="DA115" s="481"/>
      <c r="DB115" s="509"/>
      <c r="DC115" s="509"/>
      <c r="DD115" s="520"/>
      <c r="DE115" s="515"/>
      <c r="DF115" s="494"/>
      <c r="DG115" s="494"/>
    </row>
    <row r="116" spans="1:109" ht="12.75">
      <c r="A116" s="504">
        <v>102</v>
      </c>
      <c r="B116" s="522" t="s">
        <v>516</v>
      </c>
      <c r="C116" s="371" t="s">
        <v>476</v>
      </c>
      <c r="D116" s="371" t="s">
        <v>477</v>
      </c>
      <c r="F116" s="548"/>
      <c r="G116" s="506">
        <f t="shared" si="5"/>
        <v>2315.3717053196187</v>
      </c>
      <c r="H116" s="507">
        <f t="shared" si="3"/>
        <v>2315.3717053196187</v>
      </c>
      <c r="I116" s="508">
        <v>3</v>
      </c>
      <c r="J116" s="524"/>
      <c r="K116" s="499"/>
      <c r="M116" s="491"/>
      <c r="N116" s="524"/>
      <c r="O116" s="499"/>
      <c r="P116" s="516"/>
      <c r="Q116" s="481"/>
      <c r="R116" s="524"/>
      <c r="S116" s="499"/>
      <c r="T116" s="516"/>
      <c r="U116" s="481"/>
      <c r="V116" s="524"/>
      <c r="W116" s="499"/>
      <c r="X116" s="516"/>
      <c r="Y116" s="481"/>
      <c r="Z116" s="509" t="s">
        <v>443</v>
      </c>
      <c r="AA116" s="509" t="s">
        <v>1</v>
      </c>
      <c r="AB116" s="520">
        <v>0.017291666666666667</v>
      </c>
      <c r="AC116" s="481">
        <v>760.3757472245942</v>
      </c>
      <c r="AD116" s="509" t="s">
        <v>443</v>
      </c>
      <c r="AE116" s="509" t="s">
        <v>1</v>
      </c>
      <c r="AF116" s="520">
        <v>0.07765046296296296</v>
      </c>
      <c r="AG116" s="481">
        <v>777.8434684684684</v>
      </c>
      <c r="AH116" s="509" t="s">
        <v>443</v>
      </c>
      <c r="AI116" s="509" t="s">
        <v>1</v>
      </c>
      <c r="AJ116" s="520">
        <v>0.056226851851851854</v>
      </c>
      <c r="AK116" s="481">
        <v>777.1524896265561</v>
      </c>
      <c r="AL116" s="524"/>
      <c r="AM116" s="537"/>
      <c r="AN116" s="526"/>
      <c r="AO116" s="481"/>
      <c r="AP116" s="524"/>
      <c r="AQ116" s="499"/>
      <c r="AR116" s="535"/>
      <c r="AS116" s="481"/>
      <c r="AT116" s="499"/>
      <c r="AU116" s="499"/>
      <c r="AV116" s="516"/>
      <c r="AW116" s="481"/>
      <c r="AX116" s="499"/>
      <c r="AY116" s="499"/>
      <c r="AZ116" s="526"/>
      <c r="BA116" s="481"/>
      <c r="BB116" s="499"/>
      <c r="BC116" s="499"/>
      <c r="BD116" s="516"/>
      <c r="BE116" s="481"/>
      <c r="BF116" s="499"/>
      <c r="BG116" s="499"/>
      <c r="BH116" s="516"/>
      <c r="BI116" s="481"/>
      <c r="BJ116" s="499"/>
      <c r="BK116" s="499"/>
      <c r="BL116" s="498"/>
      <c r="BM116" s="481"/>
      <c r="BN116" s="499"/>
      <c r="BO116" s="499"/>
      <c r="BP116" s="498"/>
      <c r="BQ116" s="481"/>
      <c r="BR116" s="499"/>
      <c r="BS116" s="499"/>
      <c r="BT116" s="498"/>
      <c r="BU116" s="481"/>
      <c r="BV116" s="499"/>
      <c r="BW116" s="499"/>
      <c r="BX116" s="526"/>
      <c r="BY116" s="481"/>
      <c r="BZ116" s="499"/>
      <c r="CA116" s="499"/>
      <c r="CB116" s="526"/>
      <c r="CC116" s="481"/>
      <c r="CD116" s="499"/>
      <c r="CE116" s="499"/>
      <c r="CF116" s="516"/>
      <c r="CG116" s="481"/>
      <c r="CH116" s="499"/>
      <c r="CI116" s="499"/>
      <c r="CJ116" s="516"/>
      <c r="CK116" s="481"/>
      <c r="CL116" s="499"/>
      <c r="CM116" s="499"/>
      <c r="CN116" s="516"/>
      <c r="CO116" s="481"/>
      <c r="CP116" s="499"/>
      <c r="CQ116" s="499"/>
      <c r="CR116" s="526"/>
      <c r="CS116" s="481"/>
      <c r="CT116" s="499"/>
      <c r="CU116" s="499"/>
      <c r="CV116" s="526"/>
      <c r="CW116" s="481"/>
      <c r="CX116" s="499"/>
      <c r="CY116" s="499"/>
      <c r="CZ116" s="526"/>
      <c r="DA116" s="481"/>
      <c r="DB116" s="499"/>
      <c r="DC116" s="499"/>
      <c r="DD116" s="516"/>
      <c r="DE116" s="481"/>
    </row>
    <row r="117" spans="1:109" ht="12.75">
      <c r="A117" s="504">
        <v>103</v>
      </c>
      <c r="B117" s="522" t="s">
        <v>54</v>
      </c>
      <c r="C117" s="371" t="s">
        <v>10</v>
      </c>
      <c r="D117" s="371" t="s">
        <v>55</v>
      </c>
      <c r="F117" s="190">
        <v>1994</v>
      </c>
      <c r="G117" s="506">
        <f t="shared" si="5"/>
        <v>2306.5766744163234</v>
      </c>
      <c r="H117" s="507">
        <f t="shared" si="3"/>
        <v>2306.5766744163234</v>
      </c>
      <c r="I117" s="508">
        <v>4</v>
      </c>
      <c r="J117" s="509"/>
      <c r="K117" s="509"/>
      <c r="L117" s="513"/>
      <c r="M117" s="481"/>
      <c r="N117" s="524"/>
      <c r="O117" s="499"/>
      <c r="Q117" s="491"/>
      <c r="R117" s="524"/>
      <c r="S117" s="499"/>
      <c r="T117" s="516"/>
      <c r="U117" s="481"/>
      <c r="V117" s="524"/>
      <c r="W117" s="499"/>
      <c r="X117" s="516"/>
      <c r="Y117" s="481"/>
      <c r="Z117" s="509"/>
      <c r="AA117" s="509"/>
      <c r="AB117" s="520"/>
      <c r="AC117" s="481"/>
      <c r="AD117" s="509"/>
      <c r="AE117" s="509"/>
      <c r="AF117" s="520"/>
      <c r="AG117" s="481"/>
      <c r="AH117" s="509"/>
      <c r="AI117" s="509"/>
      <c r="AJ117" s="520"/>
      <c r="AK117" s="481"/>
      <c r="AL117" s="509"/>
      <c r="AM117" s="509"/>
      <c r="AN117" s="509"/>
      <c r="AO117" s="481"/>
      <c r="AP117" s="509" t="s">
        <v>625</v>
      </c>
      <c r="AQ117" s="509" t="s">
        <v>1</v>
      </c>
      <c r="AR117" s="513">
        <v>0.026331018518518517</v>
      </c>
      <c r="AS117" s="481">
        <v>748.4338747099771</v>
      </c>
      <c r="AT117" s="499"/>
      <c r="AU117" s="499"/>
      <c r="AV117" s="526"/>
      <c r="AW117" s="481"/>
      <c r="AX117" s="499"/>
      <c r="AY117" s="499"/>
      <c r="AZ117" s="526"/>
      <c r="BA117" s="481"/>
      <c r="BB117" s="499"/>
      <c r="BC117" s="499"/>
      <c r="BD117" s="516"/>
      <c r="BE117" s="481"/>
      <c r="BF117" s="499"/>
      <c r="BG117" s="499"/>
      <c r="BH117" s="526"/>
      <c r="BI117" s="481"/>
      <c r="BJ117" s="499"/>
      <c r="BK117" s="499"/>
      <c r="BL117" s="516"/>
      <c r="BM117" s="491"/>
      <c r="BN117" s="499"/>
      <c r="BO117" s="499"/>
      <c r="BP117" s="526"/>
      <c r="BQ117" s="481"/>
      <c r="BR117" s="499"/>
      <c r="BS117" s="499"/>
      <c r="BT117" s="526"/>
      <c r="BU117" s="481"/>
      <c r="BV117" s="509" t="s">
        <v>237</v>
      </c>
      <c r="BW117" s="509" t="s">
        <v>1</v>
      </c>
      <c r="BX117" s="513">
        <v>0.05232638888888889</v>
      </c>
      <c r="BY117" s="481">
        <v>611.4299153339607</v>
      </c>
      <c r="BZ117" s="509" t="s">
        <v>237</v>
      </c>
      <c r="CA117" s="509" t="s">
        <v>1</v>
      </c>
      <c r="CB117" s="513">
        <v>0.1077199074074074</v>
      </c>
      <c r="CC117" s="481">
        <v>506.8552331268338</v>
      </c>
      <c r="CD117" s="509" t="s">
        <v>292</v>
      </c>
      <c r="CE117" s="509" t="s">
        <v>1</v>
      </c>
      <c r="CF117" s="513">
        <v>0.05724537037037037</v>
      </c>
      <c r="CG117" s="481">
        <v>439.8576512455516</v>
      </c>
      <c r="CH117" s="499"/>
      <c r="CI117" s="499"/>
      <c r="CJ117" s="516"/>
      <c r="CK117" s="481"/>
      <c r="CL117" s="499"/>
      <c r="CM117" s="499"/>
      <c r="CN117" s="516"/>
      <c r="CO117" s="481"/>
      <c r="CP117" s="499"/>
      <c r="CQ117" s="499"/>
      <c r="CR117" s="526"/>
      <c r="CS117" s="481"/>
      <c r="CT117" s="499"/>
      <c r="CU117" s="499"/>
      <c r="CV117" s="526"/>
      <c r="CW117" s="481"/>
      <c r="CX117" s="499"/>
      <c r="CY117" s="499"/>
      <c r="CZ117" s="516"/>
      <c r="DA117" s="481"/>
      <c r="DB117" s="499"/>
      <c r="DC117" s="499"/>
      <c r="DD117" s="526"/>
      <c r="DE117" s="481"/>
    </row>
    <row r="118" spans="1:109" ht="12.75">
      <c r="A118" s="504">
        <v>104</v>
      </c>
      <c r="B118" s="522" t="s">
        <v>77</v>
      </c>
      <c r="C118" s="371" t="s">
        <v>10</v>
      </c>
      <c r="G118" s="506">
        <f t="shared" si="5"/>
        <v>2191.5685819125247</v>
      </c>
      <c r="H118" s="507">
        <f t="shared" si="3"/>
        <v>2191.5685819125247</v>
      </c>
      <c r="I118" s="508">
        <v>4</v>
      </c>
      <c r="J118" s="524"/>
      <c r="K118" s="499"/>
      <c r="M118" s="491"/>
      <c r="N118" s="524"/>
      <c r="O118" s="499"/>
      <c r="Q118" s="481"/>
      <c r="R118" s="524"/>
      <c r="S118" s="499"/>
      <c r="U118" s="491"/>
      <c r="V118" s="524"/>
      <c r="W118" s="499"/>
      <c r="Y118" s="491"/>
      <c r="Z118" s="524"/>
      <c r="AA118" s="499"/>
      <c r="AC118" s="491"/>
      <c r="AD118" s="524"/>
      <c r="AE118" s="524"/>
      <c r="AG118" s="491"/>
      <c r="AH118" s="524"/>
      <c r="AI118" s="524"/>
      <c r="AK118" s="491"/>
      <c r="AL118" s="524"/>
      <c r="AM118" s="524"/>
      <c r="AO118" s="491"/>
      <c r="AP118" s="524"/>
      <c r="AQ118" s="499"/>
      <c r="AR118" s="498"/>
      <c r="AS118" s="491"/>
      <c r="AT118" s="509"/>
      <c r="AU118" s="509"/>
      <c r="AV118" s="509"/>
      <c r="AW118" s="502"/>
      <c r="AX118" s="509"/>
      <c r="AY118" s="509"/>
      <c r="AZ118" s="513"/>
      <c r="BA118" s="540"/>
      <c r="BB118" s="509"/>
      <c r="BC118" s="509"/>
      <c r="BD118" s="513"/>
      <c r="BE118" s="491"/>
      <c r="BF118" s="509" t="s">
        <v>742</v>
      </c>
      <c r="BG118" s="509" t="s">
        <v>2</v>
      </c>
      <c r="BH118" s="513">
        <v>0.029826388888888892</v>
      </c>
      <c r="BI118" s="481">
        <v>777.005988023952</v>
      </c>
      <c r="BJ118" s="509" t="s">
        <v>742</v>
      </c>
      <c r="BK118" s="509" t="s">
        <v>2</v>
      </c>
      <c r="BL118" s="513">
        <v>0.013622685185185184</v>
      </c>
      <c r="BM118" s="481">
        <v>675.049115913556</v>
      </c>
      <c r="BN118" s="509" t="s">
        <v>742</v>
      </c>
      <c r="BO118" s="509" t="s">
        <v>2</v>
      </c>
      <c r="BP118" s="509" t="s">
        <v>358</v>
      </c>
      <c r="BQ118" s="481">
        <v>0</v>
      </c>
      <c r="BR118" s="509" t="s">
        <v>742</v>
      </c>
      <c r="BS118" s="509" t="s">
        <v>2</v>
      </c>
      <c r="BT118" s="513">
        <v>0.03787037037037037</v>
      </c>
      <c r="BU118" s="481">
        <v>739.5134779750165</v>
      </c>
      <c r="BV118" s="499"/>
      <c r="BW118" s="499"/>
      <c r="BX118" s="498"/>
      <c r="BY118" s="481"/>
      <c r="BZ118" s="499"/>
      <c r="CA118" s="499"/>
      <c r="CB118" s="498"/>
      <c r="CC118" s="481"/>
      <c r="CD118" s="499"/>
      <c r="CE118" s="499"/>
      <c r="CF118" s="516"/>
      <c r="CG118" s="481"/>
      <c r="CH118" s="499"/>
      <c r="CI118" s="499"/>
      <c r="CJ118" s="516"/>
      <c r="CK118" s="481"/>
      <c r="CL118" s="499"/>
      <c r="CM118" s="499"/>
      <c r="CN118" s="516"/>
      <c r="CO118" s="481"/>
      <c r="CP118" s="499"/>
      <c r="CQ118" s="499"/>
      <c r="CR118" s="526"/>
      <c r="CS118" s="481"/>
      <c r="CT118" s="499"/>
      <c r="CU118" s="499"/>
      <c r="CV118" s="526"/>
      <c r="CW118" s="481"/>
      <c r="CX118" s="499"/>
      <c r="CY118" s="499"/>
      <c r="CZ118" s="526"/>
      <c r="DA118" s="481"/>
      <c r="DB118" s="499"/>
      <c r="DC118" s="499"/>
      <c r="DD118" s="516"/>
      <c r="DE118" s="481"/>
    </row>
    <row r="119" spans="1:109" ht="12.75">
      <c r="A119" s="504">
        <v>105</v>
      </c>
      <c r="B119" s="505" t="s">
        <v>378</v>
      </c>
      <c r="C119" s="371" t="s">
        <v>10</v>
      </c>
      <c r="D119" s="371" t="s">
        <v>11</v>
      </c>
      <c r="F119" s="548">
        <v>1977</v>
      </c>
      <c r="G119" s="506">
        <f t="shared" si="5"/>
        <v>2183.7086391801927</v>
      </c>
      <c r="H119" s="507">
        <f t="shared" si="3"/>
        <v>2183.7086391801927</v>
      </c>
      <c r="I119" s="508">
        <v>3</v>
      </c>
      <c r="J119" s="524"/>
      <c r="K119" s="499"/>
      <c r="M119" s="491"/>
      <c r="N119" s="524"/>
      <c r="O119" s="499"/>
      <c r="Q119" s="491"/>
      <c r="R119" s="524"/>
      <c r="S119" s="499"/>
      <c r="U119" s="481"/>
      <c r="V119" s="524"/>
      <c r="W119" s="499"/>
      <c r="Y119" s="481"/>
      <c r="Z119" s="524"/>
      <c r="AA119" s="498"/>
      <c r="AB119" s="516"/>
      <c r="AC119" s="481"/>
      <c r="AD119" s="524"/>
      <c r="AE119" s="537"/>
      <c r="AF119" s="516"/>
      <c r="AG119" s="491"/>
      <c r="AH119" s="524"/>
      <c r="AI119" s="524"/>
      <c r="AK119" s="481"/>
      <c r="AL119" s="524"/>
      <c r="AM119" s="537"/>
      <c r="AN119" s="526"/>
      <c r="AO119" s="481"/>
      <c r="AP119" s="524"/>
      <c r="AQ119" s="499"/>
      <c r="AR119" s="498"/>
      <c r="AS119" s="481"/>
      <c r="AT119" s="499"/>
      <c r="AU119" s="499"/>
      <c r="AV119" s="526"/>
      <c r="AW119" s="481"/>
      <c r="AX119" s="524"/>
      <c r="AY119" s="524"/>
      <c r="AZ119" s="516"/>
      <c r="BA119" s="515"/>
      <c r="BB119" s="499"/>
      <c r="BC119" s="499"/>
      <c r="BD119" s="516"/>
      <c r="BE119" s="481"/>
      <c r="BF119" s="499"/>
      <c r="BG119" s="499"/>
      <c r="BH119" s="526"/>
      <c r="BI119" s="481"/>
      <c r="BJ119" s="509"/>
      <c r="BK119" s="509"/>
      <c r="BL119" s="520"/>
      <c r="BM119" s="515"/>
      <c r="BN119" s="509"/>
      <c r="BO119" s="509"/>
      <c r="BP119" s="520"/>
      <c r="BQ119" s="515"/>
      <c r="BR119" s="509"/>
      <c r="BS119" s="509"/>
      <c r="BT119" s="520"/>
      <c r="BU119" s="515"/>
      <c r="BV119" s="499"/>
      <c r="BW119" s="499"/>
      <c r="BX119" s="516"/>
      <c r="BY119" s="481"/>
      <c r="BZ119" s="499"/>
      <c r="CA119" s="499"/>
      <c r="CB119" s="526"/>
      <c r="CC119" s="481"/>
      <c r="CD119" s="509" t="s">
        <v>372</v>
      </c>
      <c r="CE119" s="509" t="s">
        <v>2</v>
      </c>
      <c r="CF119" s="513">
        <v>0.044375</v>
      </c>
      <c r="CG119" s="481">
        <v>663.1469440832251</v>
      </c>
      <c r="CH119" s="499"/>
      <c r="CI119" s="499"/>
      <c r="CJ119" s="516"/>
      <c r="CK119" s="481"/>
      <c r="CL119" s="499"/>
      <c r="CM119" s="499"/>
      <c r="CN119" s="516"/>
      <c r="CO119" s="481"/>
      <c r="CP119" s="499" t="s">
        <v>839</v>
      </c>
      <c r="CQ119" s="499" t="s">
        <v>1</v>
      </c>
      <c r="CR119" s="513">
        <v>0.040729166666666664</v>
      </c>
      <c r="CS119" s="481">
        <v>789.0571231933932</v>
      </c>
      <c r="CT119" s="499" t="s">
        <v>839</v>
      </c>
      <c r="CU119" s="499" t="s">
        <v>1</v>
      </c>
      <c r="CV119" s="513">
        <v>0.017662037037037035</v>
      </c>
      <c r="CW119" s="481">
        <v>731.5045719035744</v>
      </c>
      <c r="CX119" s="499"/>
      <c r="CY119" s="499"/>
      <c r="CZ119" s="526"/>
      <c r="DA119" s="481"/>
      <c r="DB119" s="499"/>
      <c r="DC119" s="499"/>
      <c r="DD119" s="516"/>
      <c r="DE119" s="481"/>
    </row>
    <row r="120" spans="1:109" ht="12.75">
      <c r="A120" s="504">
        <v>106</v>
      </c>
      <c r="B120" s="505" t="s">
        <v>30</v>
      </c>
      <c r="C120" s="371" t="s">
        <v>10</v>
      </c>
      <c r="D120" s="371" t="s">
        <v>31</v>
      </c>
      <c r="F120" s="548">
        <v>1974</v>
      </c>
      <c r="G120" s="506">
        <f t="shared" si="5"/>
        <v>2142.552410444371</v>
      </c>
      <c r="H120" s="507">
        <f t="shared" si="3"/>
        <v>2142.552410444371</v>
      </c>
      <c r="I120" s="508">
        <v>3</v>
      </c>
      <c r="J120" s="524"/>
      <c r="K120" s="499"/>
      <c r="M120" s="491"/>
      <c r="N120" s="524"/>
      <c r="O120" s="499"/>
      <c r="Q120" s="491"/>
      <c r="R120" s="524"/>
      <c r="S120" s="499"/>
      <c r="T120" s="516"/>
      <c r="U120" s="481"/>
      <c r="V120" s="524"/>
      <c r="W120" s="499"/>
      <c r="X120" s="516"/>
      <c r="Y120" s="481"/>
      <c r="Z120" s="524"/>
      <c r="AA120" s="468"/>
      <c r="AB120" s="516"/>
      <c r="AC120" s="481"/>
      <c r="AD120" s="524"/>
      <c r="AE120" s="537"/>
      <c r="AF120" s="516"/>
      <c r="AG120" s="481"/>
      <c r="AH120" s="524"/>
      <c r="AI120" s="537"/>
      <c r="AJ120" s="516"/>
      <c r="AK120" s="481"/>
      <c r="AL120" s="524"/>
      <c r="AM120" s="537"/>
      <c r="AN120" s="526"/>
      <c r="AO120" s="481"/>
      <c r="AP120" s="541"/>
      <c r="AQ120" s="501"/>
      <c r="AR120" s="543"/>
      <c r="AS120" s="515"/>
      <c r="AT120" s="509"/>
      <c r="AU120" s="509"/>
      <c r="AV120" s="513"/>
      <c r="AW120" s="515"/>
      <c r="AX120" s="509"/>
      <c r="AY120" s="509"/>
      <c r="AZ120" s="513"/>
      <c r="BA120" s="515"/>
      <c r="BB120" s="499"/>
      <c r="BC120" s="499"/>
      <c r="BD120" s="516"/>
      <c r="BE120" s="481"/>
      <c r="BF120" s="499"/>
      <c r="BG120" s="499"/>
      <c r="BH120" s="526"/>
      <c r="BI120" s="481"/>
      <c r="BJ120" s="509"/>
      <c r="BK120" s="509"/>
      <c r="BL120" s="520"/>
      <c r="BM120" s="515"/>
      <c r="BN120" s="509"/>
      <c r="BO120" s="509"/>
      <c r="BP120" s="513"/>
      <c r="BQ120" s="515"/>
      <c r="BR120" s="509"/>
      <c r="BS120" s="509"/>
      <c r="BT120" s="513"/>
      <c r="BU120" s="515"/>
      <c r="BV120" s="509"/>
      <c r="BW120" s="509"/>
      <c r="BX120" s="513"/>
      <c r="BY120" s="515"/>
      <c r="BZ120" s="509"/>
      <c r="CA120" s="509"/>
      <c r="CB120" s="513"/>
      <c r="CC120" s="481"/>
      <c r="CD120" s="509" t="s">
        <v>372</v>
      </c>
      <c r="CE120" s="509" t="s">
        <v>2</v>
      </c>
      <c r="CF120" s="512">
        <v>0.04116898148148148</v>
      </c>
      <c r="CG120" s="481">
        <v>742.3927178153447</v>
      </c>
      <c r="CH120" s="499"/>
      <c r="CI120" s="499"/>
      <c r="CJ120" s="516"/>
      <c r="CK120" s="481"/>
      <c r="CL120" s="499"/>
      <c r="CM120" s="499"/>
      <c r="CN120" s="516"/>
      <c r="CO120" s="481"/>
      <c r="CP120" s="509"/>
      <c r="CQ120" s="509"/>
      <c r="CR120" s="516"/>
      <c r="CS120" s="481"/>
      <c r="CT120" s="499"/>
      <c r="CU120" s="499"/>
      <c r="CV120" s="516"/>
      <c r="CW120" s="481"/>
      <c r="CX120" s="499" t="s">
        <v>396</v>
      </c>
      <c r="CY120" s="499" t="s">
        <v>2</v>
      </c>
      <c r="CZ120" s="516">
        <v>0.0541087962962963</v>
      </c>
      <c r="DA120" s="481">
        <v>672.4206349206349</v>
      </c>
      <c r="DB120" s="499" t="s">
        <v>396</v>
      </c>
      <c r="DC120" s="499" t="s">
        <v>2</v>
      </c>
      <c r="DD120" s="526">
        <v>0.045266203703703704</v>
      </c>
      <c r="DE120" s="481">
        <v>727.7390577083913</v>
      </c>
    </row>
    <row r="121" spans="1:109" ht="12.75">
      <c r="A121" s="504">
        <v>107</v>
      </c>
      <c r="B121" s="505" t="s">
        <v>367</v>
      </c>
      <c r="C121" s="371" t="s">
        <v>10</v>
      </c>
      <c r="D121" s="371" t="s">
        <v>368</v>
      </c>
      <c r="F121" s="548">
        <v>1987</v>
      </c>
      <c r="G121" s="506">
        <f t="shared" si="5"/>
        <v>2131.6574913764457</v>
      </c>
      <c r="H121" s="507">
        <f t="shared" si="3"/>
        <v>2131.6574913764457</v>
      </c>
      <c r="I121" s="508">
        <v>3</v>
      </c>
      <c r="J121" s="524"/>
      <c r="K121" s="499"/>
      <c r="M121" s="491"/>
      <c r="N121" s="524"/>
      <c r="O121" s="499"/>
      <c r="Q121" s="491"/>
      <c r="R121" s="524"/>
      <c r="S121" s="499"/>
      <c r="U121" s="481"/>
      <c r="V121" s="524"/>
      <c r="W121" s="499"/>
      <c r="Y121" s="481"/>
      <c r="Z121" s="524"/>
      <c r="AA121" s="499"/>
      <c r="AC121" s="481"/>
      <c r="AD121" s="524"/>
      <c r="AE121" s="524"/>
      <c r="AG121" s="491"/>
      <c r="AH121" s="524"/>
      <c r="AI121" s="524"/>
      <c r="AK121" s="481"/>
      <c r="AL121" s="524"/>
      <c r="AM121" s="537"/>
      <c r="AN121" s="526"/>
      <c r="AO121" s="481"/>
      <c r="AP121" s="524"/>
      <c r="AQ121" s="499"/>
      <c r="AR121" s="498"/>
      <c r="AS121" s="481"/>
      <c r="AT121" s="499"/>
      <c r="AU121" s="499"/>
      <c r="AV121" s="526"/>
      <c r="AW121" s="481"/>
      <c r="AX121" s="524"/>
      <c r="AY121" s="524"/>
      <c r="AZ121" s="516"/>
      <c r="BA121" s="515"/>
      <c r="BB121" s="499"/>
      <c r="BC121" s="499"/>
      <c r="BD121" s="516"/>
      <c r="BE121" s="481"/>
      <c r="BF121" s="499"/>
      <c r="BG121" s="499"/>
      <c r="BH121" s="526"/>
      <c r="BI121" s="481"/>
      <c r="BJ121" s="509"/>
      <c r="BK121" s="509"/>
      <c r="BL121" s="520"/>
      <c r="BM121" s="515"/>
      <c r="BN121" s="509"/>
      <c r="BO121" s="509"/>
      <c r="BP121" s="520"/>
      <c r="BQ121" s="515"/>
      <c r="BR121" s="509"/>
      <c r="BS121" s="509"/>
      <c r="BT121" s="520"/>
      <c r="BU121" s="515"/>
      <c r="BV121" s="499"/>
      <c r="BW121" s="499"/>
      <c r="BX121" s="516"/>
      <c r="BY121" s="481"/>
      <c r="BZ121" s="499"/>
      <c r="CA121" s="499"/>
      <c r="CB121" s="526"/>
      <c r="CC121" s="481"/>
      <c r="CD121" s="509" t="s">
        <v>292</v>
      </c>
      <c r="CE121" s="509" t="s">
        <v>1</v>
      </c>
      <c r="CF121" s="513">
        <v>0.0556712962962963</v>
      </c>
      <c r="CG121" s="481">
        <v>488.25622775800684</v>
      </c>
      <c r="CH121" s="499" t="s">
        <v>377</v>
      </c>
      <c r="CI121" s="499" t="s">
        <v>1</v>
      </c>
      <c r="CJ121" s="525">
        <v>0.015439814814814816</v>
      </c>
      <c r="CK121" s="481">
        <v>829.8245614035087</v>
      </c>
      <c r="CL121" s="499" t="s">
        <v>377</v>
      </c>
      <c r="CM121" s="499" t="s">
        <v>1</v>
      </c>
      <c r="CN121" s="513">
        <v>0.06695601851851851</v>
      </c>
      <c r="CO121" s="481">
        <v>813.5767022149303</v>
      </c>
      <c r="CP121" s="499"/>
      <c r="CQ121" s="499"/>
      <c r="CR121" s="526"/>
      <c r="CS121" s="481"/>
      <c r="CT121" s="499"/>
      <c r="CU121" s="499"/>
      <c r="CV121" s="526"/>
      <c r="CW121" s="481"/>
      <c r="CX121" s="499"/>
      <c r="CY121" s="499"/>
      <c r="CZ121" s="526"/>
      <c r="DA121" s="481"/>
      <c r="DB121" s="499"/>
      <c r="DC121" s="499"/>
      <c r="DD121" s="516"/>
      <c r="DE121" s="481"/>
    </row>
    <row r="122" spans="1:109" ht="12.75">
      <c r="A122" s="504">
        <v>108</v>
      </c>
      <c r="B122" s="505" t="s">
        <v>167</v>
      </c>
      <c r="C122" s="371" t="s">
        <v>10</v>
      </c>
      <c r="D122" s="371" t="s">
        <v>67</v>
      </c>
      <c r="F122" s="190">
        <v>1982</v>
      </c>
      <c r="G122" s="506">
        <f t="shared" si="5"/>
        <v>2086.887069958097</v>
      </c>
      <c r="H122" s="507">
        <f t="shared" si="3"/>
        <v>2086.887069958097</v>
      </c>
      <c r="I122" s="508">
        <v>8</v>
      </c>
      <c r="J122" s="524"/>
      <c r="K122" s="499"/>
      <c r="M122" s="491"/>
      <c r="N122" s="524"/>
      <c r="O122" s="499"/>
      <c r="P122" s="516"/>
      <c r="Q122" s="481"/>
      <c r="R122" s="524"/>
      <c r="S122" s="499"/>
      <c r="T122" s="516"/>
      <c r="U122" s="481"/>
      <c r="V122" s="524"/>
      <c r="W122" s="499"/>
      <c r="X122" s="516"/>
      <c r="Y122" s="481"/>
      <c r="Z122" s="509"/>
      <c r="AA122" s="509"/>
      <c r="AB122" s="520"/>
      <c r="AC122" s="481"/>
      <c r="AD122" s="509"/>
      <c r="AE122" s="509"/>
      <c r="AF122" s="520"/>
      <c r="AG122" s="481"/>
      <c r="AH122" s="509"/>
      <c r="AI122" s="509"/>
      <c r="AJ122" s="520"/>
      <c r="AK122" s="481"/>
      <c r="AL122" s="509" t="s">
        <v>625</v>
      </c>
      <c r="AM122" s="509" t="s">
        <v>1</v>
      </c>
      <c r="AN122" s="518" t="s">
        <v>358</v>
      </c>
      <c r="AO122" s="481">
        <v>0</v>
      </c>
      <c r="AP122" s="509" t="s">
        <v>625</v>
      </c>
      <c r="AQ122" s="509" t="s">
        <v>1</v>
      </c>
      <c r="AR122" s="513">
        <v>0.034409722222222223</v>
      </c>
      <c r="AS122" s="481">
        <v>303.07424593967545</v>
      </c>
      <c r="AT122" s="524"/>
      <c r="AU122" s="524"/>
      <c r="AV122" s="526"/>
      <c r="AW122" s="481"/>
      <c r="AX122" s="524"/>
      <c r="AY122" s="524"/>
      <c r="AZ122" s="526"/>
      <c r="BA122" s="481"/>
      <c r="BB122" s="524"/>
      <c r="BC122" s="524"/>
      <c r="BD122" s="516"/>
      <c r="BE122" s="481"/>
      <c r="BF122" s="509" t="s">
        <v>742</v>
      </c>
      <c r="BG122" s="509" t="s">
        <v>2</v>
      </c>
      <c r="BH122" s="513">
        <v>0.03778935185185185</v>
      </c>
      <c r="BI122" s="481">
        <v>557.2854291417166</v>
      </c>
      <c r="BJ122" s="509" t="s">
        <v>742</v>
      </c>
      <c r="BK122" s="509" t="s">
        <v>2</v>
      </c>
      <c r="BL122" s="509" t="s">
        <v>358</v>
      </c>
      <c r="BM122" s="481">
        <v>0</v>
      </c>
      <c r="BN122" s="509" t="s">
        <v>742</v>
      </c>
      <c r="BO122" s="509" t="s">
        <v>2</v>
      </c>
      <c r="BP122" s="513">
        <v>0.06728009259259259</v>
      </c>
      <c r="BQ122" s="481">
        <v>590.3603994789405</v>
      </c>
      <c r="BR122" s="509" t="s">
        <v>742</v>
      </c>
      <c r="BS122" s="509" t="s">
        <v>2</v>
      </c>
      <c r="BT122" s="513">
        <v>0.0428587962962963</v>
      </c>
      <c r="BU122" s="481">
        <v>626.1669953977647</v>
      </c>
      <c r="BV122" s="499"/>
      <c r="BW122" s="499"/>
      <c r="BX122" s="516"/>
      <c r="BY122" s="481"/>
      <c r="BZ122" s="499"/>
      <c r="CA122" s="499"/>
      <c r="CB122" s="516"/>
      <c r="CC122" s="481"/>
      <c r="CD122" s="509" t="s">
        <v>292</v>
      </c>
      <c r="CE122" s="509" t="s">
        <v>1</v>
      </c>
      <c r="CF122" s="513">
        <v>0.08402777777777777</v>
      </c>
      <c r="CG122" s="481">
        <v>10</v>
      </c>
      <c r="CH122" s="499"/>
      <c r="CI122" s="499"/>
      <c r="CJ122" s="516"/>
      <c r="CK122" s="481"/>
      <c r="CL122" s="499"/>
      <c r="CM122" s="499"/>
      <c r="CN122" s="516"/>
      <c r="CO122" s="481"/>
      <c r="CP122" s="499" t="s">
        <v>839</v>
      </c>
      <c r="CQ122" s="499" t="s">
        <v>1</v>
      </c>
      <c r="CR122" s="509" t="s">
        <v>358</v>
      </c>
      <c r="CS122" s="481">
        <v>0</v>
      </c>
      <c r="CT122" s="499"/>
      <c r="CU122" s="499"/>
      <c r="CV122" s="509"/>
      <c r="CW122" s="481"/>
      <c r="CX122" s="499"/>
      <c r="CY122" s="499"/>
      <c r="CZ122" s="526"/>
      <c r="DA122" s="481"/>
      <c r="DB122" s="499"/>
      <c r="DC122" s="499"/>
      <c r="DD122" s="526"/>
      <c r="DE122" s="481"/>
    </row>
    <row r="123" spans="1:109" ht="12.75">
      <c r="A123" s="504">
        <v>109</v>
      </c>
      <c r="B123" s="522" t="s">
        <v>526</v>
      </c>
      <c r="C123" s="371" t="s">
        <v>488</v>
      </c>
      <c r="D123" s="371" t="s">
        <v>489</v>
      </c>
      <c r="F123" s="548"/>
      <c r="G123" s="506">
        <f t="shared" si="5"/>
        <v>2074.1791207690394</v>
      </c>
      <c r="H123" s="507">
        <f t="shared" si="3"/>
        <v>2074.1791207690394</v>
      </c>
      <c r="I123" s="508">
        <v>3</v>
      </c>
      <c r="J123" s="524"/>
      <c r="K123" s="499"/>
      <c r="M123" s="491"/>
      <c r="N123" s="524"/>
      <c r="O123" s="499"/>
      <c r="P123" s="516"/>
      <c r="Q123" s="481"/>
      <c r="R123" s="524"/>
      <c r="S123" s="499"/>
      <c r="T123" s="516"/>
      <c r="U123" s="481"/>
      <c r="V123" s="524"/>
      <c r="W123" s="499"/>
      <c r="X123" s="516"/>
      <c r="Y123" s="481"/>
      <c r="Z123" s="509" t="s">
        <v>443</v>
      </c>
      <c r="AA123" s="509" t="s">
        <v>1</v>
      </c>
      <c r="AB123" s="520">
        <v>0.01965277777777778</v>
      </c>
      <c r="AC123" s="481">
        <v>577.455166524338</v>
      </c>
      <c r="AD123" s="509" t="s">
        <v>443</v>
      </c>
      <c r="AE123" s="509" t="s">
        <v>1</v>
      </c>
      <c r="AF123" s="520">
        <v>0.07677083333333333</v>
      </c>
      <c r="AG123" s="481">
        <v>792.8209459459462</v>
      </c>
      <c r="AH123" s="509" t="s">
        <v>443</v>
      </c>
      <c r="AI123" s="509" t="s">
        <v>1</v>
      </c>
      <c r="AJ123" s="520">
        <v>0.059340277777777777</v>
      </c>
      <c r="AK123" s="481">
        <v>703.9030082987553</v>
      </c>
      <c r="AL123" s="524"/>
      <c r="AM123" s="537"/>
      <c r="AN123" s="526"/>
      <c r="AO123" s="481"/>
      <c r="AP123" s="524"/>
      <c r="AQ123" s="524"/>
      <c r="AR123" s="526"/>
      <c r="AS123" s="481"/>
      <c r="AT123" s="499"/>
      <c r="AU123" s="499"/>
      <c r="AV123" s="526"/>
      <c r="AW123" s="481"/>
      <c r="AX123" s="499"/>
      <c r="AY123" s="499"/>
      <c r="AZ123" s="526"/>
      <c r="BA123" s="481"/>
      <c r="BB123" s="499"/>
      <c r="BC123" s="499"/>
      <c r="BD123" s="516"/>
      <c r="BE123" s="481"/>
      <c r="BF123" s="499"/>
      <c r="BG123" s="499"/>
      <c r="BH123" s="516"/>
      <c r="BI123" s="481"/>
      <c r="BJ123" s="499"/>
      <c r="BK123" s="499"/>
      <c r="BL123" s="516"/>
      <c r="BM123" s="481"/>
      <c r="BN123" s="499"/>
      <c r="BO123" s="499"/>
      <c r="BP123" s="526"/>
      <c r="BQ123" s="481"/>
      <c r="BR123" s="499"/>
      <c r="BS123" s="499"/>
      <c r="BT123" s="526"/>
      <c r="BU123" s="481"/>
      <c r="BV123" s="499"/>
      <c r="BW123" s="499"/>
      <c r="BX123" s="526"/>
      <c r="BY123" s="481"/>
      <c r="BZ123" s="499"/>
      <c r="CA123" s="499"/>
      <c r="CB123" s="526"/>
      <c r="CC123" s="481"/>
      <c r="CD123" s="499"/>
      <c r="CE123" s="499"/>
      <c r="CF123" s="516"/>
      <c r="CG123" s="481"/>
      <c r="CH123" s="499"/>
      <c r="CI123" s="499"/>
      <c r="CJ123" s="526"/>
      <c r="CK123" s="481"/>
      <c r="CL123" s="499"/>
      <c r="CM123" s="499"/>
      <c r="CN123" s="526"/>
      <c r="CO123" s="481"/>
      <c r="CP123" s="499"/>
      <c r="CQ123" s="499"/>
      <c r="CR123" s="526"/>
      <c r="CS123" s="481"/>
      <c r="CT123" s="499"/>
      <c r="CU123" s="499"/>
      <c r="CV123" s="526"/>
      <c r="CW123" s="481"/>
      <c r="CX123" s="499"/>
      <c r="CY123" s="499"/>
      <c r="CZ123" s="516"/>
      <c r="DA123" s="481"/>
      <c r="DB123" s="499"/>
      <c r="DC123" s="499"/>
      <c r="DD123" s="526"/>
      <c r="DE123" s="481"/>
    </row>
    <row r="124" spans="1:109" ht="12.75">
      <c r="A124" s="504">
        <v>110</v>
      </c>
      <c r="B124" s="522" t="s">
        <v>562</v>
      </c>
      <c r="C124" s="371" t="s">
        <v>470</v>
      </c>
      <c r="D124" s="371" t="s">
        <v>471</v>
      </c>
      <c r="G124" s="506">
        <f t="shared" si="5"/>
        <v>2059.0065887040273</v>
      </c>
      <c r="H124" s="507">
        <f t="shared" si="3"/>
        <v>2059.0065887040273</v>
      </c>
      <c r="I124" s="508">
        <v>3</v>
      </c>
      <c r="J124" s="524"/>
      <c r="K124" s="499"/>
      <c r="M124" s="491"/>
      <c r="N124" s="524"/>
      <c r="O124" s="499"/>
      <c r="P124" s="516"/>
      <c r="Q124" s="481"/>
      <c r="R124" s="524"/>
      <c r="S124" s="499"/>
      <c r="T124" s="516"/>
      <c r="U124" s="481"/>
      <c r="V124" s="524"/>
      <c r="W124" s="499"/>
      <c r="X124" s="516"/>
      <c r="Y124" s="481"/>
      <c r="Z124" s="509" t="s">
        <v>568</v>
      </c>
      <c r="AA124" s="509" t="s">
        <v>2</v>
      </c>
      <c r="AB124" s="513">
        <v>0.01642361111111111</v>
      </c>
      <c r="AC124" s="481">
        <v>571.9181034482758</v>
      </c>
      <c r="AD124" s="509" t="s">
        <v>568</v>
      </c>
      <c r="AE124" s="509" t="s">
        <v>2</v>
      </c>
      <c r="AF124" s="513">
        <v>0.07137731481481481</v>
      </c>
      <c r="AG124" s="481">
        <v>620.3687050359713</v>
      </c>
      <c r="AH124" s="509" t="s">
        <v>568</v>
      </c>
      <c r="AI124" s="509" t="s">
        <v>2</v>
      </c>
      <c r="AJ124" s="513">
        <v>0.03792824074074074</v>
      </c>
      <c r="AK124" s="481">
        <v>866.7197802197803</v>
      </c>
      <c r="AL124" s="524"/>
      <c r="AM124" s="524"/>
      <c r="AN124" s="526"/>
      <c r="AO124" s="481"/>
      <c r="AP124" s="524"/>
      <c r="AQ124" s="498"/>
      <c r="AR124" s="535"/>
      <c r="AS124" s="481"/>
      <c r="AT124" s="499"/>
      <c r="AU124" s="499"/>
      <c r="AV124" s="516"/>
      <c r="AW124" s="481"/>
      <c r="AX124" s="499"/>
      <c r="AY124" s="499"/>
      <c r="AZ124" s="516"/>
      <c r="BA124" s="481"/>
      <c r="BB124" s="499"/>
      <c r="BC124" s="499"/>
      <c r="BD124" s="516"/>
      <c r="BE124" s="481"/>
      <c r="BF124" s="499"/>
      <c r="BG124" s="499"/>
      <c r="BH124" s="526"/>
      <c r="BI124" s="481"/>
      <c r="BJ124" s="499"/>
      <c r="BK124" s="499"/>
      <c r="BL124" s="516"/>
      <c r="BM124" s="481"/>
      <c r="BN124" s="499"/>
      <c r="BO124" s="499"/>
      <c r="BP124" s="498"/>
      <c r="BQ124" s="481"/>
      <c r="BR124" s="499"/>
      <c r="BS124" s="499"/>
      <c r="BT124" s="516"/>
      <c r="BU124" s="481"/>
      <c r="BV124" s="499"/>
      <c r="BW124" s="499"/>
      <c r="BX124" s="516"/>
      <c r="BY124" s="481"/>
      <c r="BZ124" s="499"/>
      <c r="CA124" s="499"/>
      <c r="CB124" s="516"/>
      <c r="CC124" s="481"/>
      <c r="CD124" s="499"/>
      <c r="CE124" s="499"/>
      <c r="CF124" s="516"/>
      <c r="CG124" s="481"/>
      <c r="CH124" s="499"/>
      <c r="CI124" s="499"/>
      <c r="CJ124" s="526"/>
      <c r="CK124" s="481"/>
      <c r="CL124" s="499"/>
      <c r="CM124" s="499"/>
      <c r="CN124" s="526"/>
      <c r="CO124" s="481"/>
      <c r="CP124" s="499"/>
      <c r="CQ124" s="499"/>
      <c r="CR124" s="516"/>
      <c r="CS124" s="481"/>
      <c r="CT124" s="499"/>
      <c r="CU124" s="499"/>
      <c r="CV124" s="516"/>
      <c r="CW124" s="481"/>
      <c r="CX124" s="499"/>
      <c r="CY124" s="499"/>
      <c r="CZ124" s="516"/>
      <c r="DA124" s="481"/>
      <c r="DB124" s="499"/>
      <c r="DC124" s="499"/>
      <c r="DD124" s="516"/>
      <c r="DE124" s="481"/>
    </row>
    <row r="125" spans="1:109" ht="12.75">
      <c r="A125" s="504">
        <v>111</v>
      </c>
      <c r="B125" s="505" t="s">
        <v>151</v>
      </c>
      <c r="C125" s="371" t="s">
        <v>10</v>
      </c>
      <c r="D125" s="371" t="s">
        <v>35</v>
      </c>
      <c r="E125" s="495" t="s">
        <v>360</v>
      </c>
      <c r="F125" s="548">
        <v>1970</v>
      </c>
      <c r="G125" s="506">
        <f t="shared" si="5"/>
        <v>1976.5226876873076</v>
      </c>
      <c r="H125" s="507">
        <f t="shared" si="3"/>
        <v>1976.5226876873076</v>
      </c>
      <c r="I125" s="508">
        <v>5</v>
      </c>
      <c r="J125" s="524" t="s">
        <v>571</v>
      </c>
      <c r="K125" s="499" t="s">
        <v>2</v>
      </c>
      <c r="L125" s="526">
        <v>0.04605324074074074</v>
      </c>
      <c r="M125" s="481">
        <v>483.0877192982456</v>
      </c>
      <c r="N125" s="524" t="s">
        <v>64</v>
      </c>
      <c r="O125" s="499" t="s">
        <v>2</v>
      </c>
      <c r="P125" s="516">
        <v>0.06878472222222222</v>
      </c>
      <c r="Q125" s="481">
        <v>482.36953455571233</v>
      </c>
      <c r="R125" s="524"/>
      <c r="S125" s="499"/>
      <c r="T125" s="516"/>
      <c r="U125" s="481"/>
      <c r="V125" s="524"/>
      <c r="W125" s="499"/>
      <c r="X125" s="516"/>
      <c r="Y125" s="481"/>
      <c r="Z125" s="509"/>
      <c r="AA125" s="509"/>
      <c r="AB125" s="520"/>
      <c r="AC125" s="481"/>
      <c r="AD125" s="509" t="s">
        <v>396</v>
      </c>
      <c r="AE125" s="509" t="s">
        <v>158</v>
      </c>
      <c r="AF125" s="513">
        <v>0.08410879629629629</v>
      </c>
      <c r="AG125" s="481">
        <v>432.44635193133047</v>
      </c>
      <c r="AH125" s="509" t="s">
        <v>396</v>
      </c>
      <c r="AI125" s="509" t="s">
        <v>158</v>
      </c>
      <c r="AJ125" s="513">
        <v>0.06201388888888889</v>
      </c>
      <c r="AK125" s="481">
        <v>291.3174946004319</v>
      </c>
      <c r="AL125" s="524"/>
      <c r="AM125" s="537"/>
      <c r="AN125" s="526"/>
      <c r="AO125" s="481"/>
      <c r="AP125" s="524"/>
      <c r="AQ125" s="498"/>
      <c r="AR125" s="526"/>
      <c r="AS125" s="481"/>
      <c r="AT125" s="499"/>
      <c r="AU125" s="499"/>
      <c r="AV125" s="526"/>
      <c r="AW125" s="481"/>
      <c r="AX125" s="499"/>
      <c r="AY125" s="499"/>
      <c r="AZ125" s="526"/>
      <c r="BA125" s="481"/>
      <c r="BB125" s="499"/>
      <c r="BC125" s="499"/>
      <c r="BD125" s="516"/>
      <c r="BE125" s="481"/>
      <c r="BF125" s="499"/>
      <c r="BG125" s="499"/>
      <c r="BH125" s="526"/>
      <c r="BI125" s="481"/>
      <c r="BJ125" s="509"/>
      <c r="BK125" s="509"/>
      <c r="BL125" s="520"/>
      <c r="BM125" s="502"/>
      <c r="BN125" s="509"/>
      <c r="BO125" s="509"/>
      <c r="BP125" s="513"/>
      <c r="BQ125" s="515"/>
      <c r="BR125" s="509"/>
      <c r="BS125" s="509"/>
      <c r="BT125" s="513"/>
      <c r="BU125" s="515"/>
      <c r="BV125" s="499"/>
      <c r="BW125" s="499"/>
      <c r="BX125" s="526"/>
      <c r="BY125" s="481"/>
      <c r="BZ125" s="499"/>
      <c r="CA125" s="499"/>
      <c r="CB125" s="526"/>
      <c r="CC125" s="481"/>
      <c r="CD125" s="499"/>
      <c r="CE125" s="499"/>
      <c r="CF125" s="516"/>
      <c r="CG125" s="481"/>
      <c r="CH125" s="499"/>
      <c r="CI125" s="499"/>
      <c r="CJ125" s="516"/>
      <c r="CK125" s="481"/>
      <c r="CL125" s="499"/>
      <c r="CM125" s="499"/>
      <c r="CN125" s="516"/>
      <c r="CO125" s="481"/>
      <c r="CP125" s="499"/>
      <c r="CQ125" s="499"/>
      <c r="CR125" s="526"/>
      <c r="CS125" s="481"/>
      <c r="CT125" s="499"/>
      <c r="CU125" s="499"/>
      <c r="CV125" s="526"/>
      <c r="CW125" s="481"/>
      <c r="CX125" s="499" t="s">
        <v>396</v>
      </c>
      <c r="CY125" s="499" t="s">
        <v>2</v>
      </c>
      <c r="CZ125" s="526">
        <v>0.07657407407407407</v>
      </c>
      <c r="DA125" s="481">
        <v>287.30158730158735</v>
      </c>
      <c r="DB125" s="499"/>
      <c r="DC125" s="499"/>
      <c r="DD125" s="516"/>
      <c r="DE125" s="481"/>
    </row>
    <row r="126" spans="1:109" ht="12.75">
      <c r="A126" s="504">
        <v>112</v>
      </c>
      <c r="B126" s="522" t="s">
        <v>501</v>
      </c>
      <c r="C126" s="371" t="s">
        <v>476</v>
      </c>
      <c r="D126" s="371" t="s">
        <v>477</v>
      </c>
      <c r="G126" s="506">
        <f t="shared" si="5"/>
        <v>1898.0289127638544</v>
      </c>
      <c r="H126" s="507">
        <f t="shared" si="3"/>
        <v>1898.0289127638544</v>
      </c>
      <c r="I126" s="508">
        <v>3</v>
      </c>
      <c r="J126" s="524"/>
      <c r="K126" s="499"/>
      <c r="M126" s="491"/>
      <c r="N126" s="524"/>
      <c r="O126" s="499"/>
      <c r="P126" s="516"/>
      <c r="Q126" s="481"/>
      <c r="R126" s="524"/>
      <c r="S126" s="499"/>
      <c r="T126" s="516"/>
      <c r="U126" s="481"/>
      <c r="V126" s="524"/>
      <c r="W126" s="499"/>
      <c r="X126" s="516"/>
      <c r="Y126" s="481"/>
      <c r="Z126" s="509" t="s">
        <v>443</v>
      </c>
      <c r="AA126" s="509" t="s">
        <v>1</v>
      </c>
      <c r="AB126" s="520">
        <v>0.015162037037037036</v>
      </c>
      <c r="AC126" s="481">
        <v>925.3629376601197</v>
      </c>
      <c r="AD126" s="509" t="s">
        <v>443</v>
      </c>
      <c r="AE126" s="509" t="s">
        <v>1</v>
      </c>
      <c r="AF126" s="501" t="s">
        <v>358</v>
      </c>
      <c r="AG126" s="491">
        <v>0</v>
      </c>
      <c r="AH126" s="509" t="s">
        <v>443</v>
      </c>
      <c r="AI126" s="509" t="s">
        <v>1</v>
      </c>
      <c r="AJ126" s="520">
        <v>0.04791666666666666</v>
      </c>
      <c r="AK126" s="481">
        <v>972.6659751037346</v>
      </c>
      <c r="AL126" s="524"/>
      <c r="AM126" s="537"/>
      <c r="AN126" s="526"/>
      <c r="AO126" s="481"/>
      <c r="AP126" s="524"/>
      <c r="AQ126" s="524"/>
      <c r="AR126" s="516"/>
      <c r="AS126" s="481"/>
      <c r="AT126" s="499"/>
      <c r="AU126" s="499"/>
      <c r="AV126" s="526"/>
      <c r="AW126" s="481"/>
      <c r="AX126" s="499"/>
      <c r="AY126" s="499"/>
      <c r="AZ126" s="526"/>
      <c r="BA126" s="481"/>
      <c r="BB126" s="499"/>
      <c r="BC126" s="499"/>
      <c r="BD126" s="498"/>
      <c r="BE126" s="491"/>
      <c r="BF126" s="499"/>
      <c r="BG126" s="499"/>
      <c r="BH126" s="516"/>
      <c r="BI126" s="481"/>
      <c r="BJ126" s="499"/>
      <c r="BK126" s="499"/>
      <c r="BL126" s="498"/>
      <c r="BM126" s="481"/>
      <c r="BN126" s="499"/>
      <c r="BO126" s="499"/>
      <c r="BP126" s="498"/>
      <c r="BQ126" s="481"/>
      <c r="BR126" s="499"/>
      <c r="BS126" s="499"/>
      <c r="BT126" s="498"/>
      <c r="BU126" s="481"/>
      <c r="BV126" s="499"/>
      <c r="BW126" s="499"/>
      <c r="BX126" s="526"/>
      <c r="BY126" s="481"/>
      <c r="BZ126" s="499"/>
      <c r="CA126" s="499"/>
      <c r="CB126" s="526"/>
      <c r="CC126" s="481"/>
      <c r="CD126" s="499"/>
      <c r="CE126" s="499"/>
      <c r="CF126" s="516"/>
      <c r="CG126" s="481"/>
      <c r="CH126" s="499"/>
      <c r="CI126" s="499"/>
      <c r="CJ126" s="516"/>
      <c r="CK126" s="481"/>
      <c r="CL126" s="499"/>
      <c r="CM126" s="499"/>
      <c r="CN126" s="516"/>
      <c r="CO126" s="481"/>
      <c r="CP126" s="499"/>
      <c r="CQ126" s="499"/>
      <c r="CR126" s="516"/>
      <c r="CS126" s="481"/>
      <c r="CT126" s="499"/>
      <c r="CU126" s="499"/>
      <c r="CV126" s="516"/>
      <c r="CW126" s="481"/>
      <c r="CX126" s="499"/>
      <c r="CY126" s="499"/>
      <c r="CZ126" s="516"/>
      <c r="DA126" s="481"/>
      <c r="DB126" s="499"/>
      <c r="DC126" s="499"/>
      <c r="DD126" s="516"/>
      <c r="DE126" s="481"/>
    </row>
    <row r="127" spans="1:109" ht="12.75">
      <c r="A127" s="504">
        <v>113</v>
      </c>
      <c r="B127" s="522" t="s">
        <v>532</v>
      </c>
      <c r="C127" s="371" t="s">
        <v>473</v>
      </c>
      <c r="D127" s="371" t="s">
        <v>533</v>
      </c>
      <c r="G127" s="506">
        <f t="shared" si="5"/>
        <v>1874.9600482224962</v>
      </c>
      <c r="H127" s="507">
        <f t="shared" si="3"/>
        <v>1874.9600482224962</v>
      </c>
      <c r="I127" s="508">
        <v>4</v>
      </c>
      <c r="J127" s="524"/>
      <c r="K127" s="499"/>
      <c r="M127" s="491"/>
      <c r="N127" s="524"/>
      <c r="O127" s="499"/>
      <c r="P127" s="516"/>
      <c r="Q127" s="481"/>
      <c r="R127" s="524"/>
      <c r="S127" s="499"/>
      <c r="T127" s="516"/>
      <c r="U127" s="481"/>
      <c r="V127" s="524"/>
      <c r="W127" s="499"/>
      <c r="X127" s="516"/>
      <c r="Y127" s="481"/>
      <c r="Z127" s="509" t="s">
        <v>443</v>
      </c>
      <c r="AA127" s="509" t="s">
        <v>1</v>
      </c>
      <c r="AB127" s="520" t="s">
        <v>358</v>
      </c>
      <c r="AC127" s="481">
        <v>0</v>
      </c>
      <c r="AD127" s="509" t="s">
        <v>443</v>
      </c>
      <c r="AE127" s="509" t="s">
        <v>1</v>
      </c>
      <c r="AF127" s="520">
        <v>0.065</v>
      </c>
      <c r="AG127" s="481">
        <v>993.2432432432431</v>
      </c>
      <c r="AH127" s="509" t="s">
        <v>443</v>
      </c>
      <c r="AI127" s="509" t="s">
        <v>1</v>
      </c>
      <c r="AJ127" s="520">
        <v>0.05178240740740741</v>
      </c>
      <c r="AK127" s="481">
        <v>881.7168049792531</v>
      </c>
      <c r="AL127" s="524"/>
      <c r="AM127" s="524"/>
      <c r="AN127" s="516"/>
      <c r="AO127" s="481"/>
      <c r="AP127" s="524"/>
      <c r="AQ127" s="524"/>
      <c r="AR127" s="516"/>
      <c r="AS127" s="481"/>
      <c r="AT127" s="499"/>
      <c r="AU127" s="499"/>
      <c r="AV127" s="526"/>
      <c r="AW127" s="481"/>
      <c r="AX127" s="499"/>
      <c r="AY127" s="499"/>
      <c r="AZ127" s="526"/>
      <c r="BA127" s="481"/>
      <c r="BB127" s="499"/>
      <c r="BC127" s="499"/>
      <c r="BD127" s="516"/>
      <c r="BE127" s="481"/>
      <c r="BF127" s="499"/>
      <c r="BG127" s="499"/>
      <c r="BH127" s="516"/>
      <c r="BI127" s="481"/>
      <c r="BJ127" s="499"/>
      <c r="BK127" s="499"/>
      <c r="BL127" s="516"/>
      <c r="BM127" s="491"/>
      <c r="BN127" s="499"/>
      <c r="BO127" s="499"/>
      <c r="BP127" s="498"/>
      <c r="BQ127" s="481"/>
      <c r="BR127" s="499"/>
      <c r="BS127" s="499"/>
      <c r="BT127" s="498"/>
      <c r="BU127" s="481"/>
      <c r="BV127" s="509" t="s">
        <v>237</v>
      </c>
      <c r="BW127" s="509" t="s">
        <v>1</v>
      </c>
      <c r="BX127" s="509" t="s">
        <v>358</v>
      </c>
      <c r="BY127" s="481">
        <v>0</v>
      </c>
      <c r="BZ127" s="509"/>
      <c r="CA127" s="509"/>
      <c r="CB127" s="516"/>
      <c r="CC127" s="481"/>
      <c r="CD127" s="499"/>
      <c r="CE127" s="499"/>
      <c r="CF127" s="516"/>
      <c r="CG127" s="481"/>
      <c r="CH127" s="499"/>
      <c r="CI127" s="499"/>
      <c r="CJ127" s="516"/>
      <c r="CK127" s="481"/>
      <c r="CL127" s="499"/>
      <c r="CM127" s="499"/>
      <c r="CN127" s="516"/>
      <c r="CO127" s="481"/>
      <c r="CP127" s="499"/>
      <c r="CQ127" s="499"/>
      <c r="CR127" s="516"/>
      <c r="CS127" s="481"/>
      <c r="CT127" s="499"/>
      <c r="CU127" s="499"/>
      <c r="CV127" s="516"/>
      <c r="CW127" s="481"/>
      <c r="CX127" s="499"/>
      <c r="CY127" s="499"/>
      <c r="CZ127" s="516"/>
      <c r="DA127" s="481"/>
      <c r="DB127" s="499"/>
      <c r="DC127" s="499"/>
      <c r="DD127" s="526"/>
      <c r="DE127" s="481"/>
    </row>
    <row r="128" spans="1:109" ht="12.75">
      <c r="A128" s="504">
        <v>114</v>
      </c>
      <c r="B128" s="522" t="s">
        <v>508</v>
      </c>
      <c r="C128" s="371" t="s">
        <v>481</v>
      </c>
      <c r="D128" s="371" t="s">
        <v>482</v>
      </c>
      <c r="F128" s="548"/>
      <c r="G128" s="506">
        <f t="shared" si="5"/>
        <v>1830.7538176222758</v>
      </c>
      <c r="H128" s="507">
        <f t="shared" si="3"/>
        <v>1830.7538176222758</v>
      </c>
      <c r="I128" s="508">
        <v>3</v>
      </c>
      <c r="J128" s="524"/>
      <c r="K128" s="499"/>
      <c r="M128" s="491"/>
      <c r="N128" s="524"/>
      <c r="O128" s="499"/>
      <c r="P128" s="516"/>
      <c r="Q128" s="481"/>
      <c r="R128" s="524"/>
      <c r="S128" s="499"/>
      <c r="T128" s="516"/>
      <c r="U128" s="481"/>
      <c r="V128" s="524"/>
      <c r="W128" s="499"/>
      <c r="X128" s="516"/>
      <c r="Y128" s="481"/>
      <c r="Z128" s="509" t="s">
        <v>443</v>
      </c>
      <c r="AA128" s="509" t="s">
        <v>1</v>
      </c>
      <c r="AB128" s="520">
        <v>0.015717592592592592</v>
      </c>
      <c r="AC128" s="481">
        <v>882.3228010247652</v>
      </c>
      <c r="AD128" s="509" t="s">
        <v>443</v>
      </c>
      <c r="AE128" s="509" t="s">
        <v>1</v>
      </c>
      <c r="AF128" s="501" t="s">
        <v>358</v>
      </c>
      <c r="AG128" s="491">
        <v>0</v>
      </c>
      <c r="AH128" s="509" t="s">
        <v>443</v>
      </c>
      <c r="AI128" s="509" t="s">
        <v>1</v>
      </c>
      <c r="AJ128" s="520">
        <v>0.04894675925925926</v>
      </c>
      <c r="AK128" s="481">
        <v>948.4310165975106</v>
      </c>
      <c r="AL128" s="524"/>
      <c r="AM128" s="537"/>
      <c r="AN128" s="526"/>
      <c r="AO128" s="481"/>
      <c r="AP128" s="524"/>
      <c r="AQ128" s="524"/>
      <c r="AR128" s="535"/>
      <c r="AS128" s="481"/>
      <c r="AT128" s="499"/>
      <c r="AU128" s="499"/>
      <c r="AV128" s="526"/>
      <c r="AW128" s="481"/>
      <c r="AX128" s="499"/>
      <c r="AY128" s="499"/>
      <c r="AZ128" s="526"/>
      <c r="BA128" s="481"/>
      <c r="BB128" s="499"/>
      <c r="BC128" s="499"/>
      <c r="BD128" s="516"/>
      <c r="BE128" s="481"/>
      <c r="BF128" s="499"/>
      <c r="BG128" s="499"/>
      <c r="BH128" s="526"/>
      <c r="BI128" s="481"/>
      <c r="BJ128" s="499"/>
      <c r="BK128" s="499"/>
      <c r="BL128" s="516"/>
      <c r="BM128" s="491"/>
      <c r="BN128" s="499"/>
      <c r="BO128" s="499"/>
      <c r="BP128" s="526"/>
      <c r="BQ128" s="481"/>
      <c r="BR128" s="499"/>
      <c r="BS128" s="499"/>
      <c r="BT128" s="516"/>
      <c r="BU128" s="481"/>
      <c r="BV128" s="499"/>
      <c r="BW128" s="499"/>
      <c r="BX128" s="516"/>
      <c r="BY128" s="481"/>
      <c r="BZ128" s="499"/>
      <c r="CA128" s="499"/>
      <c r="CB128" s="516"/>
      <c r="CC128" s="481"/>
      <c r="CD128" s="499"/>
      <c r="CE128" s="499"/>
      <c r="CF128" s="526"/>
      <c r="CG128" s="481"/>
      <c r="CH128" s="499"/>
      <c r="CI128" s="499"/>
      <c r="CJ128" s="516"/>
      <c r="CK128" s="481"/>
      <c r="CL128" s="499"/>
      <c r="CM128" s="499"/>
      <c r="CN128" s="516"/>
      <c r="CO128" s="481"/>
      <c r="CP128" s="499"/>
      <c r="CQ128" s="499"/>
      <c r="CR128" s="516"/>
      <c r="CS128" s="481"/>
      <c r="CT128" s="499"/>
      <c r="CU128" s="499"/>
      <c r="CV128" s="516"/>
      <c r="CW128" s="481"/>
      <c r="CX128" s="499"/>
      <c r="CY128" s="499"/>
      <c r="CZ128" s="526"/>
      <c r="DA128" s="481"/>
      <c r="DB128" s="499"/>
      <c r="DC128" s="499"/>
      <c r="DD128" s="526"/>
      <c r="DE128" s="481"/>
    </row>
    <row r="129" spans="1:109" ht="12.75">
      <c r="A129" s="504">
        <v>115</v>
      </c>
      <c r="B129" s="522" t="s">
        <v>554</v>
      </c>
      <c r="C129" s="371" t="s">
        <v>187</v>
      </c>
      <c r="G129" s="506">
        <f t="shared" si="5"/>
        <v>1821.3560847239282</v>
      </c>
      <c r="H129" s="507">
        <f t="shared" si="3"/>
        <v>1821.3560847239282</v>
      </c>
      <c r="I129" s="508">
        <v>2</v>
      </c>
      <c r="J129" s="524"/>
      <c r="K129" s="499"/>
      <c r="M129" s="491"/>
      <c r="N129" s="524"/>
      <c r="O129" s="499"/>
      <c r="Q129" s="491"/>
      <c r="R129" s="509" t="s">
        <v>292</v>
      </c>
      <c r="S129" s="509" t="s">
        <v>1</v>
      </c>
      <c r="T129" s="513">
        <v>0.06570601851851852</v>
      </c>
      <c r="U129" s="481">
        <v>906.7976121702291</v>
      </c>
      <c r="V129" s="509" t="s">
        <v>292</v>
      </c>
      <c r="W129" s="509" t="s">
        <v>1</v>
      </c>
      <c r="X129" s="513">
        <v>0.052638888888888895</v>
      </c>
      <c r="Y129" s="481">
        <v>914.5584725536993</v>
      </c>
      <c r="Z129" s="524"/>
      <c r="AA129" s="499"/>
      <c r="AC129" s="481"/>
      <c r="AD129" s="524"/>
      <c r="AE129" s="524"/>
      <c r="AG129" s="491"/>
      <c r="AH129" s="509"/>
      <c r="AI129" s="509"/>
      <c r="AJ129" s="473"/>
      <c r="AK129" s="481"/>
      <c r="AL129" s="524"/>
      <c r="AM129" s="524"/>
      <c r="AN129" s="516"/>
      <c r="AO129" s="481"/>
      <c r="AP129" s="524"/>
      <c r="AQ129" s="524"/>
      <c r="AR129" s="516"/>
      <c r="AS129" s="481"/>
      <c r="AT129" s="524"/>
      <c r="AU129" s="524"/>
      <c r="AV129" s="526"/>
      <c r="AW129" s="481"/>
      <c r="AX129" s="524"/>
      <c r="AY129" s="524"/>
      <c r="AZ129" s="526"/>
      <c r="BA129" s="481"/>
      <c r="BB129" s="524"/>
      <c r="BC129" s="524"/>
      <c r="BD129" s="516"/>
      <c r="BE129" s="481"/>
      <c r="BF129" s="499"/>
      <c r="BG129" s="499"/>
      <c r="BH129" s="526"/>
      <c r="BI129" s="481"/>
      <c r="BJ129" s="499"/>
      <c r="BK129" s="499"/>
      <c r="BL129" s="516"/>
      <c r="BM129" s="481"/>
      <c r="BN129" s="499"/>
      <c r="BO129" s="499"/>
      <c r="BP129" s="516"/>
      <c r="BQ129" s="481"/>
      <c r="BR129" s="499"/>
      <c r="BS129" s="499"/>
      <c r="BT129" s="516"/>
      <c r="BU129" s="481"/>
      <c r="BV129" s="499"/>
      <c r="BW129" s="499"/>
      <c r="BX129" s="516"/>
      <c r="BY129" s="481"/>
      <c r="BZ129" s="499"/>
      <c r="CA129" s="499"/>
      <c r="CB129" s="516"/>
      <c r="CC129" s="481"/>
      <c r="CD129" s="499"/>
      <c r="CE129" s="499"/>
      <c r="CF129" s="526"/>
      <c r="CG129" s="481"/>
      <c r="CH129" s="499"/>
      <c r="CI129" s="499"/>
      <c r="CJ129" s="526"/>
      <c r="CK129" s="481"/>
      <c r="CL129" s="499"/>
      <c r="CM129" s="499"/>
      <c r="CN129" s="526"/>
      <c r="CO129" s="481"/>
      <c r="CP129" s="499"/>
      <c r="CQ129" s="499"/>
      <c r="CR129" s="526"/>
      <c r="CS129" s="481"/>
      <c r="CT129" s="499"/>
      <c r="CU129" s="499"/>
      <c r="CV129" s="526"/>
      <c r="CW129" s="481"/>
      <c r="CX129" s="499"/>
      <c r="CY129" s="499"/>
      <c r="CZ129" s="516"/>
      <c r="DA129" s="481"/>
      <c r="DB129" s="499"/>
      <c r="DC129" s="499"/>
      <c r="DD129" s="516"/>
      <c r="DE129" s="481"/>
    </row>
    <row r="130" spans="1:109" ht="12.75">
      <c r="A130" s="504">
        <v>116</v>
      </c>
      <c r="B130" s="522" t="s">
        <v>565</v>
      </c>
      <c r="C130" s="371" t="s">
        <v>473</v>
      </c>
      <c r="D130" s="371" t="s">
        <v>474</v>
      </c>
      <c r="G130" s="506">
        <f t="shared" si="5"/>
        <v>1726.368573954781</v>
      </c>
      <c r="H130" s="507">
        <f t="shared" si="3"/>
        <v>1726.368573954781</v>
      </c>
      <c r="I130" s="508">
        <v>3</v>
      </c>
      <c r="J130" s="524"/>
      <c r="K130" s="499"/>
      <c r="M130" s="491"/>
      <c r="N130" s="524"/>
      <c r="O130" s="499"/>
      <c r="P130" s="516"/>
      <c r="Q130" s="481"/>
      <c r="R130" s="524"/>
      <c r="S130" s="499"/>
      <c r="T130" s="516"/>
      <c r="U130" s="481"/>
      <c r="V130" s="524"/>
      <c r="W130" s="499"/>
      <c r="X130" s="516"/>
      <c r="Y130" s="481"/>
      <c r="Z130" s="509" t="s">
        <v>568</v>
      </c>
      <c r="AA130" s="509" t="s">
        <v>2</v>
      </c>
      <c r="AB130" s="513">
        <v>0.012592592592592593</v>
      </c>
      <c r="AC130" s="481">
        <v>854.8850574712643</v>
      </c>
      <c r="AD130" s="509" t="s">
        <v>568</v>
      </c>
      <c r="AE130" s="509" t="s">
        <v>2</v>
      </c>
      <c r="AF130" s="501" t="s">
        <v>358</v>
      </c>
      <c r="AG130" s="481">
        <v>0</v>
      </c>
      <c r="AH130" s="509" t="s">
        <v>568</v>
      </c>
      <c r="AI130" s="509" t="s">
        <v>2</v>
      </c>
      <c r="AJ130" s="513">
        <v>0.037731481481481484</v>
      </c>
      <c r="AK130" s="481">
        <v>871.4835164835167</v>
      </c>
      <c r="AL130" s="524"/>
      <c r="AM130" s="537"/>
      <c r="AN130" s="516"/>
      <c r="AO130" s="481"/>
      <c r="AP130" s="524"/>
      <c r="AQ130" s="524"/>
      <c r="AR130" s="535"/>
      <c r="AS130" s="481"/>
      <c r="AT130" s="499"/>
      <c r="AU130" s="499"/>
      <c r="AV130" s="516"/>
      <c r="AW130" s="481"/>
      <c r="AX130" s="499"/>
      <c r="AY130" s="499"/>
      <c r="AZ130" s="498"/>
      <c r="BA130" s="481"/>
      <c r="BB130" s="499"/>
      <c r="BC130" s="499"/>
      <c r="BD130" s="516"/>
      <c r="BE130" s="481"/>
      <c r="BF130" s="499"/>
      <c r="BG130" s="499"/>
      <c r="BH130" s="516"/>
      <c r="BI130" s="481"/>
      <c r="BJ130" s="499"/>
      <c r="BK130" s="499"/>
      <c r="BL130" s="516"/>
      <c r="BM130" s="481"/>
      <c r="BN130" s="499"/>
      <c r="BO130" s="499"/>
      <c r="BP130" s="526"/>
      <c r="BQ130" s="481"/>
      <c r="BR130" s="499"/>
      <c r="BS130" s="499"/>
      <c r="BT130" s="526"/>
      <c r="BU130" s="481"/>
      <c r="BV130" s="499"/>
      <c r="BW130" s="499"/>
      <c r="BX130" s="516"/>
      <c r="BY130" s="481"/>
      <c r="BZ130" s="499"/>
      <c r="CA130" s="499"/>
      <c r="CB130" s="516"/>
      <c r="CC130" s="481"/>
      <c r="CD130" s="499"/>
      <c r="CE130" s="499"/>
      <c r="CF130" s="526"/>
      <c r="CG130" s="481"/>
      <c r="CH130" s="499"/>
      <c r="CI130" s="499"/>
      <c r="CJ130" s="516"/>
      <c r="CK130" s="481"/>
      <c r="CL130" s="499"/>
      <c r="CM130" s="499"/>
      <c r="CN130" s="516"/>
      <c r="CO130" s="481"/>
      <c r="CP130" s="499"/>
      <c r="CQ130" s="499"/>
      <c r="CR130" s="516"/>
      <c r="CS130" s="481"/>
      <c r="CT130" s="499"/>
      <c r="CU130" s="499"/>
      <c r="CV130" s="516"/>
      <c r="CW130" s="481"/>
      <c r="CX130" s="499"/>
      <c r="CY130" s="499"/>
      <c r="CZ130" s="516"/>
      <c r="DA130" s="481"/>
      <c r="DB130" s="499"/>
      <c r="DC130" s="499"/>
      <c r="DD130" s="526"/>
      <c r="DE130" s="481"/>
    </row>
    <row r="131" spans="1:109" ht="12.75">
      <c r="A131" s="504">
        <v>117</v>
      </c>
      <c r="B131" s="522" t="s">
        <v>564</v>
      </c>
      <c r="C131" s="371" t="s">
        <v>473</v>
      </c>
      <c r="D131" s="371" t="s">
        <v>474</v>
      </c>
      <c r="F131" s="548"/>
      <c r="G131" s="506">
        <f t="shared" si="5"/>
        <v>1706.3505747126437</v>
      </c>
      <c r="H131" s="507">
        <f t="shared" si="3"/>
        <v>1706.3505747126437</v>
      </c>
      <c r="I131" s="508">
        <v>3</v>
      </c>
      <c r="J131" s="524"/>
      <c r="K131" s="499"/>
      <c r="M131" s="491"/>
      <c r="N131" s="524"/>
      <c r="O131" s="499"/>
      <c r="P131" s="516"/>
      <c r="Q131" s="481"/>
      <c r="R131" s="524"/>
      <c r="S131" s="499"/>
      <c r="T131" s="516"/>
      <c r="U131" s="481"/>
      <c r="V131" s="524"/>
      <c r="W131" s="499"/>
      <c r="X131" s="516"/>
      <c r="Y131" s="481"/>
      <c r="Z131" s="509" t="s">
        <v>568</v>
      </c>
      <c r="AA131" s="509" t="s">
        <v>2</v>
      </c>
      <c r="AB131" s="513">
        <v>0.013148148148148147</v>
      </c>
      <c r="AC131" s="481">
        <v>813.8505747126438</v>
      </c>
      <c r="AD131" s="509" t="s">
        <v>568</v>
      </c>
      <c r="AE131" s="509" t="s">
        <v>2</v>
      </c>
      <c r="AF131" s="501" t="s">
        <v>358</v>
      </c>
      <c r="AG131" s="481">
        <v>0</v>
      </c>
      <c r="AH131" s="509" t="s">
        <v>568</v>
      </c>
      <c r="AI131" s="509" t="s">
        <v>2</v>
      </c>
      <c r="AJ131" s="513">
        <v>0.03686342592592593</v>
      </c>
      <c r="AK131" s="481">
        <v>892.5</v>
      </c>
      <c r="AL131" s="524"/>
      <c r="AM131" s="524"/>
      <c r="AN131" s="516"/>
      <c r="AO131" s="481"/>
      <c r="AP131" s="524"/>
      <c r="AQ131" s="498"/>
      <c r="AR131" s="526"/>
      <c r="AS131" s="481"/>
      <c r="AT131" s="499"/>
      <c r="AU131" s="499"/>
      <c r="AV131" s="526"/>
      <c r="AW131" s="481"/>
      <c r="AX131" s="499"/>
      <c r="AY131" s="499"/>
      <c r="AZ131" s="526"/>
      <c r="BA131" s="481"/>
      <c r="BB131" s="499"/>
      <c r="BC131" s="499"/>
      <c r="BD131" s="516"/>
      <c r="BE131" s="481"/>
      <c r="BF131" s="499"/>
      <c r="BG131" s="499"/>
      <c r="BH131" s="516"/>
      <c r="BI131" s="481"/>
      <c r="BJ131" s="499"/>
      <c r="BK131" s="499"/>
      <c r="BL131" s="498"/>
      <c r="BM131" s="491"/>
      <c r="BN131" s="499"/>
      <c r="BO131" s="499"/>
      <c r="BP131" s="516"/>
      <c r="BQ131" s="481"/>
      <c r="BR131" s="499"/>
      <c r="BS131" s="499"/>
      <c r="BT131" s="516"/>
      <c r="BU131" s="481"/>
      <c r="BV131" s="499"/>
      <c r="BW131" s="499"/>
      <c r="BX131" s="526"/>
      <c r="BY131" s="481"/>
      <c r="BZ131" s="499"/>
      <c r="CA131" s="499"/>
      <c r="CB131" s="526"/>
      <c r="CC131" s="481"/>
      <c r="CD131" s="499"/>
      <c r="CE131" s="499"/>
      <c r="CF131" s="516"/>
      <c r="CG131" s="481"/>
      <c r="CH131" s="499"/>
      <c r="CI131" s="499"/>
      <c r="CJ131" s="526"/>
      <c r="CK131" s="481"/>
      <c r="CL131" s="499"/>
      <c r="CM131" s="499"/>
      <c r="CN131" s="526"/>
      <c r="CO131" s="481"/>
      <c r="CP131" s="499"/>
      <c r="CQ131" s="499"/>
      <c r="CR131" s="516"/>
      <c r="CS131" s="481"/>
      <c r="CT131" s="499"/>
      <c r="CU131" s="499"/>
      <c r="CV131" s="516"/>
      <c r="CW131" s="481"/>
      <c r="CX131" s="499"/>
      <c r="CY131" s="499"/>
      <c r="CZ131" s="516"/>
      <c r="DA131" s="481"/>
      <c r="DB131" s="499"/>
      <c r="DC131" s="499"/>
      <c r="DD131" s="516"/>
      <c r="DE131" s="481"/>
    </row>
    <row r="132" spans="1:109" ht="12.75">
      <c r="A132" s="504">
        <v>118</v>
      </c>
      <c r="B132" s="522" t="s">
        <v>535</v>
      </c>
      <c r="C132" s="371" t="s">
        <v>491</v>
      </c>
      <c r="D132" s="371" t="s">
        <v>492</v>
      </c>
      <c r="G132" s="506">
        <f t="shared" si="5"/>
        <v>1676.7202627939143</v>
      </c>
      <c r="H132" s="507">
        <f t="shared" si="3"/>
        <v>1676.7202627939143</v>
      </c>
      <c r="I132" s="508">
        <v>3</v>
      </c>
      <c r="J132" s="524"/>
      <c r="K132" s="499"/>
      <c r="M132" s="491"/>
      <c r="N132" s="524"/>
      <c r="O132" s="499"/>
      <c r="P132" s="516"/>
      <c r="Q132" s="481"/>
      <c r="R132" s="524"/>
      <c r="S132" s="499"/>
      <c r="T132" s="516"/>
      <c r="U132" s="481"/>
      <c r="V132" s="524"/>
      <c r="W132" s="499"/>
      <c r="X132" s="516"/>
      <c r="Y132" s="481"/>
      <c r="Z132" s="509" t="s">
        <v>443</v>
      </c>
      <c r="AA132" s="509" t="s">
        <v>1</v>
      </c>
      <c r="AB132" s="520" t="s">
        <v>358</v>
      </c>
      <c r="AC132" s="481">
        <v>0</v>
      </c>
      <c r="AD132" s="509" t="s">
        <v>443</v>
      </c>
      <c r="AE132" s="509" t="s">
        <v>1</v>
      </c>
      <c r="AF132" s="520">
        <v>0.08008101851851852</v>
      </c>
      <c r="AG132" s="481">
        <v>736.4583333333333</v>
      </c>
      <c r="AH132" s="509" t="s">
        <v>443</v>
      </c>
      <c r="AI132" s="509" t="s">
        <v>1</v>
      </c>
      <c r="AJ132" s="520">
        <v>0.04929398148148148</v>
      </c>
      <c r="AK132" s="481">
        <v>940.2619294605811</v>
      </c>
      <c r="AL132" s="524"/>
      <c r="AM132" s="524"/>
      <c r="AO132" s="481"/>
      <c r="AP132" s="524"/>
      <c r="AQ132" s="524"/>
      <c r="AR132" s="535"/>
      <c r="AS132" s="481"/>
      <c r="AT132" s="499"/>
      <c r="AU132" s="499"/>
      <c r="AV132" s="498"/>
      <c r="AW132" s="491"/>
      <c r="AX132" s="499"/>
      <c r="AY132" s="499"/>
      <c r="AZ132" s="498"/>
      <c r="BA132" s="491"/>
      <c r="BB132" s="499"/>
      <c r="BC132" s="499"/>
      <c r="BD132" s="498"/>
      <c r="BE132" s="491"/>
      <c r="BF132" s="499"/>
      <c r="BG132" s="499"/>
      <c r="BH132" s="526"/>
      <c r="BI132" s="481"/>
      <c r="BJ132" s="499"/>
      <c r="BK132" s="499"/>
      <c r="BL132" s="516"/>
      <c r="BM132" s="491"/>
      <c r="BN132" s="499"/>
      <c r="BO132" s="499"/>
      <c r="BP132" s="516"/>
      <c r="BQ132" s="481"/>
      <c r="BR132" s="499"/>
      <c r="BS132" s="499"/>
      <c r="BT132" s="516"/>
      <c r="BU132" s="481"/>
      <c r="BV132" s="499"/>
      <c r="BW132" s="499"/>
      <c r="BX132" s="516"/>
      <c r="BY132" s="481"/>
      <c r="BZ132" s="499"/>
      <c r="CA132" s="499"/>
      <c r="CB132" s="526"/>
      <c r="CC132" s="481"/>
      <c r="CD132" s="499"/>
      <c r="CE132" s="499"/>
      <c r="CF132" s="526"/>
      <c r="CG132" s="481"/>
      <c r="CH132" s="499"/>
      <c r="CI132" s="499"/>
      <c r="CJ132" s="526"/>
      <c r="CK132" s="481"/>
      <c r="CL132" s="499"/>
      <c r="CM132" s="499"/>
      <c r="CN132" s="526"/>
      <c r="CO132" s="481"/>
      <c r="CP132" s="499"/>
      <c r="CQ132" s="499"/>
      <c r="CR132" s="526"/>
      <c r="CS132" s="481"/>
      <c r="CT132" s="499"/>
      <c r="CU132" s="499"/>
      <c r="CV132" s="526"/>
      <c r="CW132" s="481"/>
      <c r="CX132" s="499"/>
      <c r="CY132" s="499"/>
      <c r="CZ132" s="516"/>
      <c r="DA132" s="481"/>
      <c r="DB132" s="499"/>
      <c r="DC132" s="499"/>
      <c r="DD132" s="516"/>
      <c r="DE132" s="481"/>
    </row>
    <row r="133" spans="1:109" ht="12.75">
      <c r="A133" s="504">
        <v>119</v>
      </c>
      <c r="B133" s="505" t="s">
        <v>213</v>
      </c>
      <c r="C133" s="371" t="s">
        <v>10</v>
      </c>
      <c r="D133" s="371" t="s">
        <v>215</v>
      </c>
      <c r="E133" s="495" t="s">
        <v>359</v>
      </c>
      <c r="F133" s="548">
        <v>2002</v>
      </c>
      <c r="G133" s="506">
        <f t="shared" si="5"/>
        <v>1658.5829565331976</v>
      </c>
      <c r="H133" s="507">
        <f t="shared" si="3"/>
        <v>1658.5829565331976</v>
      </c>
      <c r="I133" s="508">
        <v>3</v>
      </c>
      <c r="J133" s="524"/>
      <c r="K133" s="499"/>
      <c r="L133" s="526"/>
      <c r="M133" s="481"/>
      <c r="N133" s="524"/>
      <c r="O133" s="499"/>
      <c r="P133" s="516"/>
      <c r="Q133" s="481"/>
      <c r="R133" s="524"/>
      <c r="S133" s="499"/>
      <c r="T133" s="516"/>
      <c r="U133" s="481"/>
      <c r="V133" s="524"/>
      <c r="W133" s="499"/>
      <c r="X133" s="516"/>
      <c r="Y133" s="481"/>
      <c r="Z133" s="524"/>
      <c r="AA133" s="499"/>
      <c r="AB133" s="516"/>
      <c r="AC133" s="481"/>
      <c r="AD133" s="509"/>
      <c r="AE133" s="509"/>
      <c r="AF133" s="513"/>
      <c r="AG133" s="481"/>
      <c r="AH133" s="524"/>
      <c r="AI133" s="524"/>
      <c r="AK133" s="481"/>
      <c r="AL133" s="509" t="s">
        <v>648</v>
      </c>
      <c r="AM133" s="509" t="s">
        <v>172</v>
      </c>
      <c r="AN133" s="513">
        <v>0.10111111111111111</v>
      </c>
      <c r="AO133" s="481">
        <v>446.5799739921976</v>
      </c>
      <c r="AP133" s="509" t="s">
        <v>648</v>
      </c>
      <c r="AQ133" s="509" t="s">
        <v>158</v>
      </c>
      <c r="AR133" s="513">
        <v>0.02549768518518519</v>
      </c>
      <c r="AS133" s="481">
        <v>523.6369083283402</v>
      </c>
      <c r="AT133" s="499"/>
      <c r="AU133" s="499"/>
      <c r="AV133" s="526"/>
      <c r="AW133" s="481"/>
      <c r="AX133" s="499"/>
      <c r="AY133" s="499"/>
      <c r="AZ133" s="526"/>
      <c r="BA133" s="481"/>
      <c r="BB133" s="499"/>
      <c r="BC133" s="499"/>
      <c r="BD133" s="516"/>
      <c r="BE133" s="481"/>
      <c r="BF133" s="499"/>
      <c r="BG133" s="499"/>
      <c r="BH133" s="526"/>
      <c r="BI133" s="481"/>
      <c r="BJ133" s="499"/>
      <c r="BK133" s="499"/>
      <c r="BL133" s="516"/>
      <c r="BM133" s="481"/>
      <c r="BN133" s="499"/>
      <c r="BO133" s="499"/>
      <c r="BP133" s="526"/>
      <c r="BQ133" s="481"/>
      <c r="BR133" s="499"/>
      <c r="BS133" s="499"/>
      <c r="BT133" s="526"/>
      <c r="BU133" s="481"/>
      <c r="BV133" s="499"/>
      <c r="BW133" s="499"/>
      <c r="BX133" s="516"/>
      <c r="BY133" s="481"/>
      <c r="BZ133" s="499"/>
      <c r="CA133" s="499"/>
      <c r="CB133" s="526"/>
      <c r="CC133" s="481"/>
      <c r="CD133" s="509" t="s">
        <v>648</v>
      </c>
      <c r="CE133" s="509" t="s">
        <v>158</v>
      </c>
      <c r="CF133" s="512">
        <v>0.041053240740740744</v>
      </c>
      <c r="CG133" s="481">
        <v>688.3660742126599</v>
      </c>
      <c r="CH133" s="499"/>
      <c r="CI133" s="499"/>
      <c r="CJ133" s="526"/>
      <c r="CK133" s="481"/>
      <c r="CL133" s="499"/>
      <c r="CM133" s="499"/>
      <c r="CN133" s="526"/>
      <c r="CO133" s="481"/>
      <c r="CP133" s="499"/>
      <c r="CQ133" s="499"/>
      <c r="CR133" s="526"/>
      <c r="CS133" s="481"/>
      <c r="CT133" s="499"/>
      <c r="CU133" s="499"/>
      <c r="CV133" s="526"/>
      <c r="CW133" s="481"/>
      <c r="CX133" s="499"/>
      <c r="CY133" s="499"/>
      <c r="CZ133" s="516"/>
      <c r="DA133" s="481"/>
      <c r="DB133" s="499"/>
      <c r="DC133" s="499"/>
      <c r="DD133" s="526"/>
      <c r="DE133" s="481"/>
    </row>
    <row r="134" spans="1:109" ht="12.75">
      <c r="A134" s="504">
        <v>120</v>
      </c>
      <c r="B134" s="522" t="s">
        <v>567</v>
      </c>
      <c r="C134" s="371" t="s">
        <v>470</v>
      </c>
      <c r="D134" s="371" t="s">
        <v>471</v>
      </c>
      <c r="G134" s="506">
        <f t="shared" si="5"/>
        <v>1637.3414888778632</v>
      </c>
      <c r="H134" s="507">
        <f t="shared" si="3"/>
        <v>1637.3414888778632</v>
      </c>
      <c r="I134" s="508">
        <v>3</v>
      </c>
      <c r="J134" s="524"/>
      <c r="K134" s="499"/>
      <c r="M134" s="491"/>
      <c r="N134" s="524"/>
      <c r="O134" s="499"/>
      <c r="P134" s="516"/>
      <c r="Q134" s="481"/>
      <c r="R134" s="524"/>
      <c r="S134" s="499"/>
      <c r="T134" s="516"/>
      <c r="U134" s="481"/>
      <c r="V134" s="524"/>
      <c r="W134" s="499"/>
      <c r="X134" s="516"/>
      <c r="Y134" s="481"/>
      <c r="Z134" s="509" t="s">
        <v>568</v>
      </c>
      <c r="AA134" s="509" t="s">
        <v>2</v>
      </c>
      <c r="AB134" s="513">
        <v>0.013113425925925926</v>
      </c>
      <c r="AC134" s="481">
        <v>816.4152298850576</v>
      </c>
      <c r="AD134" s="509" t="s">
        <v>568</v>
      </c>
      <c r="AE134" s="509" t="s">
        <v>2</v>
      </c>
      <c r="AF134" s="513">
        <v>0.05908564814814815</v>
      </c>
      <c r="AG134" s="481">
        <v>820.9262589928056</v>
      </c>
      <c r="AH134" s="509" t="s">
        <v>568</v>
      </c>
      <c r="AI134" s="509" t="s">
        <v>2</v>
      </c>
      <c r="AJ134" s="509" t="s">
        <v>358</v>
      </c>
      <c r="AK134" s="481">
        <v>0</v>
      </c>
      <c r="AL134" s="524"/>
      <c r="AM134" s="524"/>
      <c r="AN134" s="516"/>
      <c r="AO134" s="481"/>
      <c r="AP134" s="524"/>
      <c r="AQ134" s="468"/>
      <c r="AR134" s="498"/>
      <c r="AS134" s="481"/>
      <c r="AT134" s="499"/>
      <c r="AU134" s="499"/>
      <c r="AV134" s="516"/>
      <c r="AW134" s="481"/>
      <c r="AX134" s="499"/>
      <c r="AY134" s="499"/>
      <c r="AZ134" s="498"/>
      <c r="BA134" s="481"/>
      <c r="BB134" s="499"/>
      <c r="BC134" s="499"/>
      <c r="BD134" s="516"/>
      <c r="BE134" s="481"/>
      <c r="BF134" s="499"/>
      <c r="BG134" s="499"/>
      <c r="BH134" s="516"/>
      <c r="BI134" s="481"/>
      <c r="BJ134" s="499"/>
      <c r="BK134" s="499"/>
      <c r="BL134" s="516"/>
      <c r="BM134" s="481"/>
      <c r="BN134" s="499"/>
      <c r="BO134" s="499"/>
      <c r="BP134" s="516"/>
      <c r="BQ134" s="481"/>
      <c r="BR134" s="499"/>
      <c r="BS134" s="499"/>
      <c r="BT134" s="526"/>
      <c r="BU134" s="481"/>
      <c r="BV134" s="499"/>
      <c r="BW134" s="499"/>
      <c r="BX134" s="516"/>
      <c r="BY134" s="481"/>
      <c r="BZ134" s="499"/>
      <c r="CA134" s="499"/>
      <c r="CB134" s="516"/>
      <c r="CC134" s="481"/>
      <c r="CD134" s="499"/>
      <c r="CE134" s="499"/>
      <c r="CF134" s="526"/>
      <c r="CG134" s="481"/>
      <c r="CH134" s="499"/>
      <c r="CI134" s="499"/>
      <c r="CJ134" s="516"/>
      <c r="CK134" s="481"/>
      <c r="CL134" s="499"/>
      <c r="CM134" s="499"/>
      <c r="CN134" s="516"/>
      <c r="CO134" s="481"/>
      <c r="CP134" s="499"/>
      <c r="CQ134" s="499"/>
      <c r="CR134" s="516"/>
      <c r="CS134" s="481"/>
      <c r="CT134" s="499"/>
      <c r="CU134" s="499"/>
      <c r="CV134" s="516"/>
      <c r="CW134" s="481"/>
      <c r="CX134" s="499"/>
      <c r="CY134" s="499"/>
      <c r="CZ134" s="516"/>
      <c r="DA134" s="481"/>
      <c r="DB134" s="499"/>
      <c r="DC134" s="499"/>
      <c r="DD134" s="526"/>
      <c r="DE134" s="481"/>
    </row>
    <row r="135" spans="1:109" ht="12.75">
      <c r="A135" s="504">
        <v>121</v>
      </c>
      <c r="B135" s="505" t="s">
        <v>380</v>
      </c>
      <c r="C135" s="371" t="s">
        <v>10</v>
      </c>
      <c r="D135" s="371" t="s">
        <v>253</v>
      </c>
      <c r="G135" s="506">
        <f t="shared" si="5"/>
        <v>1603.5268416693912</v>
      </c>
      <c r="H135" s="507">
        <f t="shared" si="3"/>
        <v>1603.5268416693912</v>
      </c>
      <c r="I135" s="508">
        <v>4</v>
      </c>
      <c r="J135" s="509" t="s">
        <v>550</v>
      </c>
      <c r="K135" s="509" t="s">
        <v>2</v>
      </c>
      <c r="L135" s="513">
        <v>0.040462962962962964</v>
      </c>
      <c r="M135" s="481">
        <v>618.6666666666665</v>
      </c>
      <c r="N135" s="524"/>
      <c r="O135" s="499"/>
      <c r="Q135" s="481"/>
      <c r="R135" s="524"/>
      <c r="S135" s="499"/>
      <c r="T135" s="516"/>
      <c r="U135" s="481"/>
      <c r="V135" s="524"/>
      <c r="W135" s="499"/>
      <c r="X135" s="516"/>
      <c r="Y135" s="481"/>
      <c r="Z135" s="524"/>
      <c r="AA135" s="499"/>
      <c r="AB135" s="516"/>
      <c r="AC135" s="481"/>
      <c r="AD135" s="524"/>
      <c r="AE135" s="524"/>
      <c r="AF135" s="516"/>
      <c r="AG135" s="491"/>
      <c r="AH135" s="524"/>
      <c r="AI135" s="524"/>
      <c r="AJ135" s="516"/>
      <c r="AK135" s="481"/>
      <c r="AL135" s="524"/>
      <c r="AM135" s="524"/>
      <c r="AN135" s="516"/>
      <c r="AO135" s="481"/>
      <c r="AP135" s="524"/>
      <c r="AQ135" s="524"/>
      <c r="AR135" s="516"/>
      <c r="AS135" s="481"/>
      <c r="AT135" s="524"/>
      <c r="AU135" s="524"/>
      <c r="AV135" s="516"/>
      <c r="AW135" s="481"/>
      <c r="AX135" s="524"/>
      <c r="AY135" s="524"/>
      <c r="AZ135" s="526"/>
      <c r="BA135" s="481"/>
      <c r="BB135" s="524"/>
      <c r="BC135" s="524"/>
      <c r="BD135" s="516"/>
      <c r="BE135" s="481"/>
      <c r="BF135" s="509"/>
      <c r="BG135" s="509"/>
      <c r="BH135" s="509"/>
      <c r="BI135" s="481"/>
      <c r="BJ135" s="509" t="s">
        <v>742</v>
      </c>
      <c r="BK135" s="509" t="s">
        <v>2</v>
      </c>
      <c r="BL135" s="513">
        <v>0.014976851851851852</v>
      </c>
      <c r="BM135" s="481">
        <v>583.1041257367385</v>
      </c>
      <c r="BN135" s="509" t="s">
        <v>742</v>
      </c>
      <c r="BO135" s="509" t="s">
        <v>2</v>
      </c>
      <c r="BP135" s="513">
        <v>0.09362268518518518</v>
      </c>
      <c r="BQ135" s="481">
        <v>195.04993486756402</v>
      </c>
      <c r="BR135" s="509" t="s">
        <v>742</v>
      </c>
      <c r="BS135" s="509" t="s">
        <v>2</v>
      </c>
      <c r="BT135" s="513">
        <v>0.06131944444444445</v>
      </c>
      <c r="BU135" s="481">
        <v>206.70611439842207</v>
      </c>
      <c r="BV135" s="499"/>
      <c r="BW135" s="499"/>
      <c r="BX135" s="516"/>
      <c r="BY135" s="481"/>
      <c r="BZ135" s="499"/>
      <c r="CA135" s="499"/>
      <c r="CB135" s="516"/>
      <c r="CC135" s="481"/>
      <c r="CD135" s="499"/>
      <c r="CE135" s="499"/>
      <c r="CF135" s="526"/>
      <c r="CG135" s="481"/>
      <c r="CH135" s="499"/>
      <c r="CI135" s="499"/>
      <c r="CJ135" s="516"/>
      <c r="CK135" s="481"/>
      <c r="CL135" s="499"/>
      <c r="CM135" s="499"/>
      <c r="CN135" s="516"/>
      <c r="CO135" s="481"/>
      <c r="CP135" s="499"/>
      <c r="CQ135" s="499"/>
      <c r="CR135" s="526"/>
      <c r="CS135" s="481"/>
      <c r="CT135" s="499"/>
      <c r="CU135" s="499"/>
      <c r="CV135" s="526"/>
      <c r="CW135" s="481"/>
      <c r="CX135" s="499"/>
      <c r="CY135" s="499"/>
      <c r="CZ135" s="526"/>
      <c r="DA135" s="481"/>
      <c r="DB135" s="499"/>
      <c r="DC135" s="499"/>
      <c r="DD135" s="526"/>
      <c r="DE135" s="481"/>
    </row>
    <row r="136" spans="1:109" ht="12.75">
      <c r="A136" s="504">
        <v>122</v>
      </c>
      <c r="B136" s="522" t="s">
        <v>511</v>
      </c>
      <c r="C136" s="371" t="s">
        <v>498</v>
      </c>
      <c r="D136" s="371" t="s">
        <v>499</v>
      </c>
      <c r="F136" s="548"/>
      <c r="G136" s="506">
        <f t="shared" si="5"/>
        <v>1595.1922300182334</v>
      </c>
      <c r="H136" s="507">
        <f t="shared" si="3"/>
        <v>1595.1922300182334</v>
      </c>
      <c r="I136" s="508">
        <v>3</v>
      </c>
      <c r="J136" s="524"/>
      <c r="K136" s="499"/>
      <c r="M136" s="481"/>
      <c r="N136" s="524"/>
      <c r="O136" s="499"/>
      <c r="P136" s="516"/>
      <c r="Q136" s="481"/>
      <c r="R136" s="524"/>
      <c r="S136" s="499"/>
      <c r="T136" s="516"/>
      <c r="U136" s="481"/>
      <c r="V136" s="524"/>
      <c r="W136" s="499"/>
      <c r="X136" s="516"/>
      <c r="Y136" s="481"/>
      <c r="Z136" s="509" t="s">
        <v>443</v>
      </c>
      <c r="AA136" s="509" t="s">
        <v>1</v>
      </c>
      <c r="AB136" s="520">
        <v>0.016574074074074074</v>
      </c>
      <c r="AC136" s="481">
        <v>815.9692570452605</v>
      </c>
      <c r="AD136" s="509" t="s">
        <v>443</v>
      </c>
      <c r="AE136" s="509" t="s">
        <v>1</v>
      </c>
      <c r="AF136" s="520">
        <v>0.07756944444444445</v>
      </c>
      <c r="AG136" s="481">
        <v>779.2229729729729</v>
      </c>
      <c r="AH136" s="509" t="s">
        <v>443</v>
      </c>
      <c r="AI136" s="509" t="s">
        <v>1</v>
      </c>
      <c r="AJ136" s="501" t="s">
        <v>358</v>
      </c>
      <c r="AK136" s="481">
        <v>0</v>
      </c>
      <c r="AL136" s="524"/>
      <c r="AM136" s="537"/>
      <c r="AO136" s="481"/>
      <c r="AP136" s="524"/>
      <c r="AQ136" s="498"/>
      <c r="AR136" s="498"/>
      <c r="AS136" s="491"/>
      <c r="AT136" s="499"/>
      <c r="AU136" s="499"/>
      <c r="AV136" s="526"/>
      <c r="AW136" s="481"/>
      <c r="AX136" s="499"/>
      <c r="AY136" s="499"/>
      <c r="AZ136" s="526"/>
      <c r="BA136" s="481"/>
      <c r="BB136" s="499"/>
      <c r="BC136" s="499"/>
      <c r="BD136" s="516"/>
      <c r="BE136" s="481"/>
      <c r="BF136" s="499"/>
      <c r="BG136" s="499"/>
      <c r="BH136" s="526"/>
      <c r="BI136" s="481"/>
      <c r="BJ136" s="499"/>
      <c r="BK136" s="499"/>
      <c r="BL136" s="516"/>
      <c r="BM136" s="481"/>
      <c r="BN136" s="499"/>
      <c r="BO136" s="499"/>
      <c r="BP136" s="526"/>
      <c r="BQ136" s="481"/>
      <c r="BR136" s="499"/>
      <c r="BS136" s="499"/>
      <c r="BT136" s="526"/>
      <c r="BU136" s="481"/>
      <c r="BV136" s="499"/>
      <c r="BW136" s="499"/>
      <c r="BX136" s="516"/>
      <c r="BY136" s="481"/>
      <c r="BZ136" s="499"/>
      <c r="CA136" s="499"/>
      <c r="CB136" s="526"/>
      <c r="CC136" s="481"/>
      <c r="CD136" s="499"/>
      <c r="CE136" s="499"/>
      <c r="CF136" s="526"/>
      <c r="CG136" s="481"/>
      <c r="CH136" s="499"/>
      <c r="CI136" s="499"/>
      <c r="CJ136" s="516"/>
      <c r="CK136" s="481"/>
      <c r="CL136" s="499"/>
      <c r="CM136" s="499"/>
      <c r="CN136" s="516"/>
      <c r="CO136" s="481"/>
      <c r="CP136" s="499"/>
      <c r="CQ136" s="499"/>
      <c r="CR136" s="526"/>
      <c r="CS136" s="481"/>
      <c r="CT136" s="499"/>
      <c r="CU136" s="499"/>
      <c r="CV136" s="526"/>
      <c r="CW136" s="481"/>
      <c r="CX136" s="499"/>
      <c r="CY136" s="499"/>
      <c r="CZ136" s="526"/>
      <c r="DA136" s="481"/>
      <c r="DB136" s="499"/>
      <c r="DC136" s="499"/>
      <c r="DD136" s="526"/>
      <c r="DE136" s="481"/>
    </row>
    <row r="137" spans="1:109" ht="12.75">
      <c r="A137" s="504">
        <v>123</v>
      </c>
      <c r="B137" s="522" t="s">
        <v>566</v>
      </c>
      <c r="C137" s="371" t="s">
        <v>473</v>
      </c>
      <c r="D137" s="371" t="s">
        <v>474</v>
      </c>
      <c r="F137" s="548"/>
      <c r="G137" s="506">
        <f t="shared" si="5"/>
        <v>1524.9173929518759</v>
      </c>
      <c r="H137" s="507">
        <f t="shared" si="3"/>
        <v>1524.9173929518759</v>
      </c>
      <c r="I137" s="508">
        <v>3</v>
      </c>
      <c r="J137" s="524"/>
      <c r="K137" s="499"/>
      <c r="M137" s="481"/>
      <c r="N137" s="524"/>
      <c r="O137" s="499"/>
      <c r="P137" s="516"/>
      <c r="Q137" s="481"/>
      <c r="R137" s="524"/>
      <c r="S137" s="499"/>
      <c r="T137" s="516"/>
      <c r="U137" s="481"/>
      <c r="V137" s="524"/>
      <c r="W137" s="499"/>
      <c r="X137" s="516"/>
      <c r="Y137" s="481"/>
      <c r="Z137" s="509" t="s">
        <v>568</v>
      </c>
      <c r="AA137" s="509" t="s">
        <v>2</v>
      </c>
      <c r="AB137" s="513">
        <v>0.014166666666666666</v>
      </c>
      <c r="AC137" s="481">
        <v>738.6206896551726</v>
      </c>
      <c r="AD137" s="509" t="s">
        <v>568</v>
      </c>
      <c r="AE137" s="509" t="s">
        <v>2</v>
      </c>
      <c r="AF137" s="501" t="s">
        <v>358</v>
      </c>
      <c r="AG137" s="481">
        <v>0</v>
      </c>
      <c r="AH137" s="509" t="s">
        <v>568</v>
      </c>
      <c r="AI137" s="509" t="s">
        <v>2</v>
      </c>
      <c r="AJ137" s="513">
        <v>0.04125</v>
      </c>
      <c r="AK137" s="481">
        <v>786.2967032967033</v>
      </c>
      <c r="AL137" s="524"/>
      <c r="AM137" s="537"/>
      <c r="AN137" s="516"/>
      <c r="AO137" s="481"/>
      <c r="AP137" s="524"/>
      <c r="AQ137" s="498"/>
      <c r="AR137" s="535"/>
      <c r="AS137" s="481"/>
      <c r="AT137" s="499"/>
      <c r="AU137" s="499"/>
      <c r="AV137" s="526"/>
      <c r="AW137" s="481"/>
      <c r="AX137" s="499"/>
      <c r="AY137" s="499"/>
      <c r="AZ137" s="526"/>
      <c r="BA137" s="481"/>
      <c r="BB137" s="499"/>
      <c r="BC137" s="499"/>
      <c r="BD137" s="516"/>
      <c r="BE137" s="481"/>
      <c r="BF137" s="499"/>
      <c r="BG137" s="499"/>
      <c r="BH137" s="526"/>
      <c r="BI137" s="481"/>
      <c r="BJ137" s="499"/>
      <c r="BK137" s="499"/>
      <c r="BL137" s="516"/>
      <c r="BM137" s="481"/>
      <c r="BN137" s="499"/>
      <c r="BO137" s="499"/>
      <c r="BP137" s="526"/>
      <c r="BQ137" s="481"/>
      <c r="BR137" s="499"/>
      <c r="BS137" s="499"/>
      <c r="BT137" s="526"/>
      <c r="BU137" s="481"/>
      <c r="BV137" s="499"/>
      <c r="BW137" s="499"/>
      <c r="BX137" s="516"/>
      <c r="BY137" s="481"/>
      <c r="BZ137" s="499"/>
      <c r="CA137" s="499"/>
      <c r="CB137" s="526"/>
      <c r="CC137" s="481"/>
      <c r="CD137" s="499"/>
      <c r="CE137" s="499"/>
      <c r="CF137" s="526"/>
      <c r="CG137" s="481"/>
      <c r="CH137" s="499"/>
      <c r="CI137" s="499"/>
      <c r="CJ137" s="526"/>
      <c r="CK137" s="481"/>
      <c r="CL137" s="499"/>
      <c r="CM137" s="499"/>
      <c r="CN137" s="526"/>
      <c r="CO137" s="481"/>
      <c r="CP137" s="499"/>
      <c r="CQ137" s="499"/>
      <c r="CR137" s="520"/>
      <c r="CS137" s="515"/>
      <c r="CT137" s="509"/>
      <c r="CU137" s="509"/>
      <c r="CV137" s="520"/>
      <c r="CW137" s="515"/>
      <c r="CX137" s="499"/>
      <c r="CY137" s="499"/>
      <c r="CZ137" s="516"/>
      <c r="DA137" s="481"/>
      <c r="DB137" s="509"/>
      <c r="DC137" s="509"/>
      <c r="DD137" s="520"/>
      <c r="DE137" s="515"/>
    </row>
    <row r="138" spans="1:109" ht="12.75">
      <c r="A138" s="504">
        <v>124</v>
      </c>
      <c r="B138" s="505" t="s">
        <v>348</v>
      </c>
      <c r="C138" s="371" t="s">
        <v>10</v>
      </c>
      <c r="D138" s="527" t="s">
        <v>815</v>
      </c>
      <c r="E138" s="495" t="s">
        <v>360</v>
      </c>
      <c r="F138" s="548">
        <v>1968</v>
      </c>
      <c r="G138" s="506">
        <f t="shared" si="5"/>
        <v>1427.2713996738707</v>
      </c>
      <c r="H138" s="507">
        <f t="shared" si="3"/>
        <v>1427.2713996738707</v>
      </c>
      <c r="I138" s="508">
        <v>3</v>
      </c>
      <c r="J138" s="524"/>
      <c r="K138" s="499"/>
      <c r="M138" s="491"/>
      <c r="N138" s="524"/>
      <c r="O138" s="499"/>
      <c r="P138" s="516"/>
      <c r="Q138" s="491"/>
      <c r="R138" s="524"/>
      <c r="S138" s="499"/>
      <c r="U138" s="491"/>
      <c r="V138" s="524"/>
      <c r="W138" s="499"/>
      <c r="Y138" s="491"/>
      <c r="Z138" s="524"/>
      <c r="AA138" s="499"/>
      <c r="AC138" s="491"/>
      <c r="AD138" s="524"/>
      <c r="AE138" s="524"/>
      <c r="AG138" s="491"/>
      <c r="AH138" s="524"/>
      <c r="AI138" s="524"/>
      <c r="AJ138" s="516"/>
      <c r="AK138" s="491"/>
      <c r="AL138" s="524"/>
      <c r="AM138" s="524"/>
      <c r="AO138" s="491"/>
      <c r="AP138" s="541"/>
      <c r="AQ138" s="509"/>
      <c r="AS138" s="502"/>
      <c r="AT138" s="509"/>
      <c r="AU138" s="509"/>
      <c r="AW138" s="502"/>
      <c r="AX138" s="499"/>
      <c r="AY138" s="499"/>
      <c r="AZ138" s="516"/>
      <c r="BA138" s="502"/>
      <c r="BB138" s="499"/>
      <c r="BC138" s="499"/>
      <c r="BD138" s="498"/>
      <c r="BE138" s="491"/>
      <c r="BF138" s="499"/>
      <c r="BG138" s="499"/>
      <c r="BH138" s="498"/>
      <c r="BI138" s="491"/>
      <c r="BJ138" s="499"/>
      <c r="BK138" s="499"/>
      <c r="BL138" s="516"/>
      <c r="BM138" s="502"/>
      <c r="BN138" s="509"/>
      <c r="BO138" s="509"/>
      <c r="BP138" s="501"/>
      <c r="BQ138" s="502"/>
      <c r="BR138" s="509"/>
      <c r="BS138" s="509"/>
      <c r="BT138" s="501"/>
      <c r="BU138" s="502"/>
      <c r="BV138" s="509"/>
      <c r="BW138" s="509"/>
      <c r="BX138" s="520"/>
      <c r="BY138" s="515"/>
      <c r="BZ138" s="499"/>
      <c r="CA138" s="499"/>
      <c r="CB138" s="516"/>
      <c r="CC138" s="481"/>
      <c r="CD138" s="509" t="s">
        <v>372</v>
      </c>
      <c r="CE138" s="509" t="s">
        <v>2</v>
      </c>
      <c r="CF138" s="513">
        <v>0.04321759259259259</v>
      </c>
      <c r="CG138" s="481">
        <v>691.7555266579975</v>
      </c>
      <c r="CH138" s="509"/>
      <c r="CI138" s="509"/>
      <c r="CJ138" s="520"/>
      <c r="CK138" s="515"/>
      <c r="CL138" s="509"/>
      <c r="CM138" s="509"/>
      <c r="CN138" s="520"/>
      <c r="CO138" s="515"/>
      <c r="CP138" s="499"/>
      <c r="CQ138" s="499"/>
      <c r="CR138" s="526"/>
      <c r="CS138" s="481"/>
      <c r="CT138" s="499"/>
      <c r="CU138" s="499"/>
      <c r="CV138" s="526"/>
      <c r="CW138" s="481"/>
      <c r="CX138" s="499" t="s">
        <v>396</v>
      </c>
      <c r="CY138" s="499" t="s">
        <v>2</v>
      </c>
      <c r="CZ138" s="516">
        <v>0.05042824074074074</v>
      </c>
      <c r="DA138" s="481">
        <v>735.5158730158731</v>
      </c>
      <c r="DB138" s="499" t="s">
        <v>396</v>
      </c>
      <c r="DC138" s="499" t="s">
        <v>2</v>
      </c>
      <c r="DD138" s="516" t="s">
        <v>358</v>
      </c>
      <c r="DE138" s="481">
        <v>0</v>
      </c>
    </row>
    <row r="139" spans="1:109" ht="12.75">
      <c r="A139" s="504">
        <v>125</v>
      </c>
      <c r="B139" s="505" t="s">
        <v>309</v>
      </c>
      <c r="C139" s="371" t="s">
        <v>10</v>
      </c>
      <c r="D139" s="371" t="s">
        <v>215</v>
      </c>
      <c r="F139" s="548">
        <v>1968</v>
      </c>
      <c r="G139" s="506">
        <f t="shared" si="5"/>
        <v>1371.084275917472</v>
      </c>
      <c r="H139" s="507">
        <f t="shared" si="3"/>
        <v>1371.084275917472</v>
      </c>
      <c r="I139" s="508">
        <v>2</v>
      </c>
      <c r="J139" s="524"/>
      <c r="K139" s="499"/>
      <c r="M139" s="491"/>
      <c r="N139" s="524" t="s">
        <v>64</v>
      </c>
      <c r="O139" s="499" t="s">
        <v>2</v>
      </c>
      <c r="P139" s="516">
        <v>0.05569444444444444</v>
      </c>
      <c r="Q139" s="481">
        <v>695.0634696755994</v>
      </c>
      <c r="R139" s="524"/>
      <c r="S139" s="499"/>
      <c r="T139" s="516"/>
      <c r="U139" s="491"/>
      <c r="V139" s="524"/>
      <c r="W139" s="499"/>
      <c r="X139" s="516"/>
      <c r="Y139" s="481"/>
      <c r="Z139" s="524"/>
      <c r="AA139" s="468"/>
      <c r="AB139" s="516"/>
      <c r="AC139" s="481"/>
      <c r="AD139" s="524"/>
      <c r="AE139" s="524"/>
      <c r="AF139" s="516"/>
      <c r="AG139" s="491"/>
      <c r="AH139" s="524"/>
      <c r="AI139" s="537"/>
      <c r="AJ139" s="516"/>
      <c r="AK139" s="481"/>
      <c r="AL139" s="524"/>
      <c r="AM139" s="537"/>
      <c r="AN139" s="526"/>
      <c r="AO139" s="481"/>
      <c r="AP139" s="524"/>
      <c r="AQ139" s="524"/>
      <c r="AR139" s="535"/>
      <c r="AS139" s="481"/>
      <c r="AT139" s="524"/>
      <c r="AU139" s="524"/>
      <c r="AV139" s="526"/>
      <c r="AW139" s="481"/>
      <c r="AX139" s="524"/>
      <c r="AY139" s="524"/>
      <c r="AZ139" s="516"/>
      <c r="BA139" s="481"/>
      <c r="BB139" s="524"/>
      <c r="BC139" s="524"/>
      <c r="BD139" s="516"/>
      <c r="BE139" s="481"/>
      <c r="BF139" s="499"/>
      <c r="BG139" s="499"/>
      <c r="BH139" s="498"/>
      <c r="BI139" s="481"/>
      <c r="BJ139" s="499"/>
      <c r="BK139" s="499"/>
      <c r="BL139" s="516"/>
      <c r="BM139" s="491"/>
      <c r="BN139" s="499"/>
      <c r="BO139" s="499"/>
      <c r="BP139" s="516"/>
      <c r="BQ139" s="481"/>
      <c r="BR139" s="499"/>
      <c r="BS139" s="499"/>
      <c r="BT139" s="516"/>
      <c r="BU139" s="481"/>
      <c r="BV139" s="499"/>
      <c r="BW139" s="499"/>
      <c r="BX139" s="526"/>
      <c r="BY139" s="481"/>
      <c r="BZ139" s="499"/>
      <c r="CA139" s="499"/>
      <c r="CB139" s="526"/>
      <c r="CC139" s="481"/>
      <c r="CD139" s="509" t="s">
        <v>372</v>
      </c>
      <c r="CE139" s="509" t="s">
        <v>2</v>
      </c>
      <c r="CF139" s="513">
        <v>0.043854166666666666</v>
      </c>
      <c r="CG139" s="481">
        <v>676.0208062418725</v>
      </c>
      <c r="CH139" s="499"/>
      <c r="CI139" s="499"/>
      <c r="CJ139" s="516"/>
      <c r="CK139" s="481"/>
      <c r="CL139" s="499"/>
      <c r="CM139" s="499"/>
      <c r="CN139" s="516"/>
      <c r="CO139" s="481"/>
      <c r="CP139" s="499"/>
      <c r="CQ139" s="499"/>
      <c r="CR139" s="516"/>
      <c r="CS139" s="481"/>
      <c r="CT139" s="499"/>
      <c r="CU139" s="499"/>
      <c r="CV139" s="516"/>
      <c r="CW139" s="481"/>
      <c r="CX139" s="499"/>
      <c r="CY139" s="499"/>
      <c r="CZ139" s="526"/>
      <c r="DA139" s="481"/>
      <c r="DB139" s="499"/>
      <c r="DC139" s="499"/>
      <c r="DD139" s="516"/>
      <c r="DE139" s="481"/>
    </row>
    <row r="140" spans="1:109" ht="12.75">
      <c r="A140" s="504">
        <v>126</v>
      </c>
      <c r="B140" s="505" t="s">
        <v>227</v>
      </c>
      <c r="C140" s="371" t="s">
        <v>10</v>
      </c>
      <c r="D140" s="371" t="s">
        <v>235</v>
      </c>
      <c r="E140" s="495" t="s">
        <v>360</v>
      </c>
      <c r="F140" s="190">
        <v>1969</v>
      </c>
      <c r="G140" s="506">
        <f t="shared" si="5"/>
        <v>1352.5259968885614</v>
      </c>
      <c r="H140" s="507">
        <f t="shared" si="3"/>
        <v>1352.5259968885614</v>
      </c>
      <c r="I140" s="508">
        <v>2</v>
      </c>
      <c r="J140" s="524"/>
      <c r="K140" s="499"/>
      <c r="M140" s="491"/>
      <c r="N140" s="524"/>
      <c r="O140" s="499"/>
      <c r="Q140" s="491"/>
      <c r="R140" s="524"/>
      <c r="S140" s="499"/>
      <c r="U140" s="491"/>
      <c r="V140" s="524"/>
      <c r="W140" s="499"/>
      <c r="Y140" s="491"/>
      <c r="Z140" s="524"/>
      <c r="AA140" s="499"/>
      <c r="AC140" s="491"/>
      <c r="AD140" s="524"/>
      <c r="AE140" s="524"/>
      <c r="AG140" s="491"/>
      <c r="AH140" s="524"/>
      <c r="AI140" s="524"/>
      <c r="AK140" s="491"/>
      <c r="AL140" s="524"/>
      <c r="AM140" s="524"/>
      <c r="AO140" s="491"/>
      <c r="AP140" s="541"/>
      <c r="AQ140" s="509"/>
      <c r="AS140" s="502"/>
      <c r="AT140" s="509"/>
      <c r="AU140" s="509"/>
      <c r="AW140" s="502"/>
      <c r="AX140" s="509"/>
      <c r="AY140" s="509"/>
      <c r="BA140" s="502"/>
      <c r="BB140" s="499"/>
      <c r="BC140" s="499"/>
      <c r="BD140" s="498"/>
      <c r="BE140" s="491"/>
      <c r="BF140" s="499"/>
      <c r="BG140" s="499"/>
      <c r="BH140" s="498"/>
      <c r="BI140" s="491"/>
      <c r="BJ140" s="509"/>
      <c r="BK140" s="509"/>
      <c r="BL140" s="501"/>
      <c r="BM140" s="502"/>
      <c r="BN140" s="509"/>
      <c r="BO140" s="509"/>
      <c r="BP140" s="501"/>
      <c r="BQ140" s="502"/>
      <c r="BR140" s="509"/>
      <c r="BS140" s="509"/>
      <c r="BT140" s="501"/>
      <c r="BU140" s="502"/>
      <c r="BV140" s="509"/>
      <c r="BW140" s="509"/>
      <c r="BX140" s="520"/>
      <c r="BY140" s="515"/>
      <c r="BZ140" s="509"/>
      <c r="CA140" s="509"/>
      <c r="CB140" s="520"/>
      <c r="CC140" s="515"/>
      <c r="CD140" s="509"/>
      <c r="CE140" s="509"/>
      <c r="CF140" s="520"/>
      <c r="CG140" s="515"/>
      <c r="CH140" s="509"/>
      <c r="CI140" s="509"/>
      <c r="CJ140" s="520"/>
      <c r="CK140" s="515"/>
      <c r="CL140" s="509"/>
      <c r="CM140" s="509"/>
      <c r="CN140" s="520"/>
      <c r="CO140" s="515"/>
      <c r="CP140" s="499" t="s">
        <v>854</v>
      </c>
      <c r="CQ140" s="509" t="s">
        <v>2</v>
      </c>
      <c r="CR140" s="513">
        <v>0.042222222222222223</v>
      </c>
      <c r="CS140" s="481">
        <v>683.9924670433144</v>
      </c>
      <c r="CT140" s="499" t="s">
        <v>854</v>
      </c>
      <c r="CU140" s="509" t="s">
        <v>2</v>
      </c>
      <c r="CV140" s="513">
        <v>0.018287037037037036</v>
      </c>
      <c r="CW140" s="481">
        <v>668.533529845247</v>
      </c>
      <c r="CX140" s="499"/>
      <c r="CY140" s="499"/>
      <c r="CZ140" s="516"/>
      <c r="DA140" s="481"/>
      <c r="DB140" s="499"/>
      <c r="DC140" s="499"/>
      <c r="DD140" s="516"/>
      <c r="DE140" s="481"/>
    </row>
    <row r="141" spans="1:109" ht="12.75">
      <c r="A141" s="504">
        <v>127</v>
      </c>
      <c r="B141" s="505" t="s">
        <v>392</v>
      </c>
      <c r="C141" s="371" t="s">
        <v>10</v>
      </c>
      <c r="D141" s="371" t="s">
        <v>21</v>
      </c>
      <c r="E141" s="495" t="s">
        <v>359</v>
      </c>
      <c r="F141" s="190">
        <v>2004</v>
      </c>
      <c r="G141" s="506">
        <f t="shared" si="5"/>
        <v>1276.864104124585</v>
      </c>
      <c r="H141" s="507">
        <f t="shared" si="3"/>
        <v>1276.864104124585</v>
      </c>
      <c r="I141" s="508">
        <v>3</v>
      </c>
      <c r="J141" s="524"/>
      <c r="K141" s="499"/>
      <c r="M141" s="491"/>
      <c r="N141" s="524"/>
      <c r="O141" s="499"/>
      <c r="Q141" s="491"/>
      <c r="R141" s="524"/>
      <c r="S141" s="499"/>
      <c r="U141" s="491"/>
      <c r="V141" s="524"/>
      <c r="W141" s="499"/>
      <c r="Y141" s="491"/>
      <c r="Z141" s="524" t="s">
        <v>397</v>
      </c>
      <c r="AA141" s="499" t="s">
        <v>173</v>
      </c>
      <c r="AB141" s="513">
        <v>0.013391203703703704</v>
      </c>
      <c r="AC141" s="481">
        <v>414.3967517401393</v>
      </c>
      <c r="AD141" s="524" t="s">
        <v>397</v>
      </c>
      <c r="AE141" s="499" t="s">
        <v>173</v>
      </c>
      <c r="AF141" s="513">
        <v>0.0835185185185185</v>
      </c>
      <c r="AG141" s="481">
        <v>299.1760865129567</v>
      </c>
      <c r="AH141" s="524" t="s">
        <v>397</v>
      </c>
      <c r="AI141" s="499" t="s">
        <v>173</v>
      </c>
      <c r="AJ141" s="513">
        <v>0.03027777777777778</v>
      </c>
      <c r="AK141" s="481">
        <v>563.291265871489</v>
      </c>
      <c r="AL141" s="524"/>
      <c r="AM141" s="537"/>
      <c r="AN141" s="526"/>
      <c r="AO141" s="481"/>
      <c r="AP141" s="524"/>
      <c r="AQ141" s="498"/>
      <c r="AR141" s="526"/>
      <c r="AS141" s="481"/>
      <c r="AT141" s="499"/>
      <c r="AU141" s="499"/>
      <c r="AV141" s="516"/>
      <c r="AW141" s="481"/>
      <c r="AX141" s="499"/>
      <c r="AY141" s="499"/>
      <c r="AZ141" s="516"/>
      <c r="BA141" s="481"/>
      <c r="BB141" s="499"/>
      <c r="BC141" s="499"/>
      <c r="BD141" s="516"/>
      <c r="BE141" s="481"/>
      <c r="BF141" s="499"/>
      <c r="BG141" s="499"/>
      <c r="BH141" s="526"/>
      <c r="BI141" s="481"/>
      <c r="BJ141" s="499"/>
      <c r="BK141" s="499"/>
      <c r="BL141" s="516"/>
      <c r="BM141" s="481"/>
      <c r="BN141" s="499"/>
      <c r="BO141" s="499"/>
      <c r="BP141" s="516"/>
      <c r="BQ141" s="481"/>
      <c r="BR141" s="499"/>
      <c r="BS141" s="499"/>
      <c r="BT141" s="516"/>
      <c r="BU141" s="481"/>
      <c r="BV141" s="499"/>
      <c r="BW141" s="499"/>
      <c r="BX141" s="516"/>
      <c r="BY141" s="481"/>
      <c r="BZ141" s="499"/>
      <c r="CA141" s="499"/>
      <c r="CB141" s="516"/>
      <c r="CC141" s="481"/>
      <c r="CD141" s="499"/>
      <c r="CE141" s="499"/>
      <c r="CF141" s="526"/>
      <c r="CG141" s="481"/>
      <c r="CH141" s="499"/>
      <c r="CI141" s="499"/>
      <c r="CJ141" s="516"/>
      <c r="CK141" s="481"/>
      <c r="CL141" s="499"/>
      <c r="CM141" s="499"/>
      <c r="CN141" s="516"/>
      <c r="CO141" s="481"/>
      <c r="CP141" s="499"/>
      <c r="CQ141" s="499"/>
      <c r="CR141" s="516"/>
      <c r="CS141" s="481"/>
      <c r="CT141" s="499"/>
      <c r="CU141" s="499"/>
      <c r="CV141" s="516"/>
      <c r="CW141" s="481"/>
      <c r="CX141" s="499"/>
      <c r="CY141" s="499"/>
      <c r="CZ141" s="526"/>
      <c r="DA141" s="481"/>
      <c r="DB141" s="499"/>
      <c r="DC141" s="499"/>
      <c r="DD141" s="526"/>
      <c r="DE141" s="481"/>
    </row>
    <row r="142" spans="1:109" ht="12.75">
      <c r="A142" s="504">
        <v>128</v>
      </c>
      <c r="B142" s="505" t="s">
        <v>820</v>
      </c>
      <c r="C142" s="371" t="s">
        <v>10</v>
      </c>
      <c r="D142" s="527" t="s">
        <v>821</v>
      </c>
      <c r="E142" s="495" t="s">
        <v>375</v>
      </c>
      <c r="F142" s="548">
        <v>1959</v>
      </c>
      <c r="G142" s="506">
        <f t="shared" si="5"/>
        <v>1272.2354418135283</v>
      </c>
      <c r="H142" s="507">
        <f t="shared" si="3"/>
        <v>1272.2354418135283</v>
      </c>
      <c r="I142" s="508">
        <v>3</v>
      </c>
      <c r="J142" s="524"/>
      <c r="K142" s="499"/>
      <c r="M142" s="491"/>
      <c r="N142" s="524"/>
      <c r="O142" s="499"/>
      <c r="P142" s="516"/>
      <c r="Q142" s="491"/>
      <c r="R142" s="524"/>
      <c r="S142" s="499"/>
      <c r="U142" s="491"/>
      <c r="V142" s="524"/>
      <c r="W142" s="499"/>
      <c r="Y142" s="491"/>
      <c r="Z142" s="524"/>
      <c r="AA142" s="499"/>
      <c r="AC142" s="491"/>
      <c r="AD142" s="524"/>
      <c r="AE142" s="524"/>
      <c r="AG142" s="491"/>
      <c r="AH142" s="524"/>
      <c r="AI142" s="524"/>
      <c r="AJ142" s="516"/>
      <c r="AK142" s="491"/>
      <c r="AL142" s="524"/>
      <c r="AM142" s="524"/>
      <c r="AO142" s="491"/>
      <c r="AP142" s="541"/>
      <c r="AQ142" s="509"/>
      <c r="AS142" s="502"/>
      <c r="AT142" s="509"/>
      <c r="AU142" s="509"/>
      <c r="AW142" s="502"/>
      <c r="AX142" s="499"/>
      <c r="AY142" s="499"/>
      <c r="AZ142" s="516"/>
      <c r="BA142" s="502"/>
      <c r="BB142" s="499"/>
      <c r="BC142" s="499"/>
      <c r="BD142" s="498"/>
      <c r="BE142" s="491"/>
      <c r="BF142" s="499"/>
      <c r="BG142" s="499"/>
      <c r="BH142" s="498"/>
      <c r="BI142" s="491"/>
      <c r="BJ142" s="499"/>
      <c r="BK142" s="499"/>
      <c r="BL142" s="516"/>
      <c r="BM142" s="502"/>
      <c r="BN142" s="509"/>
      <c r="BO142" s="509"/>
      <c r="BP142" s="501"/>
      <c r="BQ142" s="502"/>
      <c r="BR142" s="509"/>
      <c r="BS142" s="509"/>
      <c r="BT142" s="501"/>
      <c r="BU142" s="502"/>
      <c r="BV142" s="509"/>
      <c r="BW142" s="509"/>
      <c r="BX142" s="520"/>
      <c r="BY142" s="515"/>
      <c r="BZ142" s="499"/>
      <c r="CA142" s="499"/>
      <c r="CB142" s="516"/>
      <c r="CC142" s="481"/>
      <c r="CD142" s="509" t="s">
        <v>651</v>
      </c>
      <c r="CE142" s="509" t="s">
        <v>2</v>
      </c>
      <c r="CF142" s="513">
        <v>0.06375</v>
      </c>
      <c r="CG142" s="481">
        <v>184.23927178153437</v>
      </c>
      <c r="CH142" s="509"/>
      <c r="CI142" s="509"/>
      <c r="CJ142" s="520"/>
      <c r="CK142" s="515"/>
      <c r="CL142" s="509"/>
      <c r="CM142" s="509"/>
      <c r="CN142" s="520"/>
      <c r="CO142" s="515"/>
      <c r="CP142" s="499"/>
      <c r="CQ142" s="499"/>
      <c r="CR142" s="526"/>
      <c r="CS142" s="481"/>
      <c r="CT142" s="499"/>
      <c r="CU142" s="499"/>
      <c r="CV142" s="526"/>
      <c r="CW142" s="481"/>
      <c r="CX142" s="499" t="s">
        <v>872</v>
      </c>
      <c r="CY142" s="509" t="s">
        <v>2</v>
      </c>
      <c r="CZ142" s="520">
        <v>0.06788194444444444</v>
      </c>
      <c r="DA142" s="481">
        <v>436.3095238095239</v>
      </c>
      <c r="DB142" s="499" t="s">
        <v>872</v>
      </c>
      <c r="DC142" s="509" t="s">
        <v>2</v>
      </c>
      <c r="DD142" s="526">
        <v>0.04921296296296296</v>
      </c>
      <c r="DE142" s="481">
        <v>651.6866462224701</v>
      </c>
    </row>
    <row r="143" spans="1:109" ht="12.75">
      <c r="A143" s="504">
        <v>129</v>
      </c>
      <c r="B143" s="505" t="s">
        <v>646</v>
      </c>
      <c r="C143" s="371" t="s">
        <v>131</v>
      </c>
      <c r="D143" s="371" t="s">
        <v>647</v>
      </c>
      <c r="E143" s="495" t="s">
        <v>359</v>
      </c>
      <c r="F143" s="548"/>
      <c r="G143" s="506">
        <f t="shared" si="5"/>
        <v>1248.839961988419</v>
      </c>
      <c r="H143" s="507">
        <f aca="true" t="shared" si="6" ref="H143:H206">M143+Q143+U143+Y143+AC143+AG143+AK143+AO143+AS143+AW143+BA143+BE143+BI143+BM143+BQ143+BU143+BY143+CC143+CG143+CK143+CO143+CS143+CW143+DA143+DE143</f>
        <v>1248.839961988419</v>
      </c>
      <c r="I143" s="508">
        <v>11</v>
      </c>
      <c r="J143" s="524"/>
      <c r="K143" s="499"/>
      <c r="L143" s="516"/>
      <c r="M143" s="481"/>
      <c r="N143" s="509"/>
      <c r="O143" s="509"/>
      <c r="P143" s="513"/>
      <c r="Q143" s="481"/>
      <c r="R143" s="524"/>
      <c r="S143" s="499"/>
      <c r="T143" s="516"/>
      <c r="U143" s="481"/>
      <c r="V143" s="524"/>
      <c r="W143" s="499"/>
      <c r="X143" s="516"/>
      <c r="Y143" s="481"/>
      <c r="Z143" s="524"/>
      <c r="AA143" s="499"/>
      <c r="AC143" s="481"/>
      <c r="AD143" s="524"/>
      <c r="AE143" s="537"/>
      <c r="AF143" s="516"/>
      <c r="AG143" s="491"/>
      <c r="AH143" s="524"/>
      <c r="AI143" s="524"/>
      <c r="AK143" s="481"/>
      <c r="AL143" s="509" t="s">
        <v>648</v>
      </c>
      <c r="AM143" s="509" t="s">
        <v>172</v>
      </c>
      <c r="AN143" s="501" t="s">
        <v>358</v>
      </c>
      <c r="AO143" s="481">
        <v>0</v>
      </c>
      <c r="AP143" s="509" t="s">
        <v>648</v>
      </c>
      <c r="AQ143" s="509" t="s">
        <v>158</v>
      </c>
      <c r="AR143" s="513">
        <v>0.03900462962962963</v>
      </c>
      <c r="AS143" s="481">
        <v>10</v>
      </c>
      <c r="AT143" s="499"/>
      <c r="AU143" s="499"/>
      <c r="AV143" s="498"/>
      <c r="AW143" s="481"/>
      <c r="AX143" s="509" t="s">
        <v>632</v>
      </c>
      <c r="AY143" s="509" t="s">
        <v>2</v>
      </c>
      <c r="AZ143" s="513">
        <v>0.11829861111111112</v>
      </c>
      <c r="BA143" s="481">
        <v>10</v>
      </c>
      <c r="BB143" s="509" t="s">
        <v>632</v>
      </c>
      <c r="BC143" s="509" t="s">
        <v>2</v>
      </c>
      <c r="BD143" s="513">
        <v>0.07230324074074074</v>
      </c>
      <c r="BE143" s="481">
        <v>108.42767295597478</v>
      </c>
      <c r="BF143" s="499"/>
      <c r="BG143" s="499"/>
      <c r="BH143" s="526"/>
      <c r="BI143" s="481"/>
      <c r="BJ143" s="499"/>
      <c r="BK143" s="499"/>
      <c r="BL143" s="516"/>
      <c r="BM143" s="491"/>
      <c r="BN143" s="499"/>
      <c r="BO143" s="499"/>
      <c r="BP143" s="526"/>
      <c r="BQ143" s="481"/>
      <c r="BR143" s="499"/>
      <c r="BS143" s="499"/>
      <c r="BT143" s="526"/>
      <c r="BU143" s="481"/>
      <c r="BV143" s="509" t="s">
        <v>738</v>
      </c>
      <c r="BW143" s="509" t="s">
        <v>172</v>
      </c>
      <c r="BX143" s="509" t="s">
        <v>740</v>
      </c>
      <c r="BY143" s="481">
        <v>10</v>
      </c>
      <c r="BZ143" s="509" t="s">
        <v>738</v>
      </c>
      <c r="CA143" s="509" t="s">
        <v>172</v>
      </c>
      <c r="CB143" s="513">
        <v>0.09671296296296296</v>
      </c>
      <c r="CC143" s="481">
        <v>10</v>
      </c>
      <c r="CD143" s="509" t="s">
        <v>648</v>
      </c>
      <c r="CE143" s="509" t="s">
        <v>158</v>
      </c>
      <c r="CF143" s="513">
        <v>0.07487268518518518</v>
      </c>
      <c r="CG143" s="481">
        <v>10</v>
      </c>
      <c r="CH143" s="499"/>
      <c r="CI143" s="499"/>
      <c r="CJ143" s="526"/>
      <c r="CK143" s="481"/>
      <c r="CL143" s="499"/>
      <c r="CM143" s="499"/>
      <c r="CN143" s="526"/>
      <c r="CO143" s="481"/>
      <c r="CP143" s="499" t="s">
        <v>856</v>
      </c>
      <c r="CQ143" s="509" t="s">
        <v>2</v>
      </c>
      <c r="CR143" s="513">
        <v>0.0534375</v>
      </c>
      <c r="CS143" s="481">
        <v>440.6779661016948</v>
      </c>
      <c r="CT143" s="499" t="s">
        <v>856</v>
      </c>
      <c r="CU143" s="509" t="s">
        <v>2</v>
      </c>
      <c r="CV143" s="513">
        <v>0.028703703703703703</v>
      </c>
      <c r="CW143" s="481">
        <v>137.95136330140014</v>
      </c>
      <c r="CX143" s="499" t="s">
        <v>871</v>
      </c>
      <c r="CY143" s="499" t="s">
        <v>2</v>
      </c>
      <c r="CZ143" s="526">
        <v>0.07715277777777778</v>
      </c>
      <c r="DA143" s="481">
        <v>277.38095238095235</v>
      </c>
      <c r="DB143" s="499" t="s">
        <v>871</v>
      </c>
      <c r="DC143" s="499" t="s">
        <v>2</v>
      </c>
      <c r="DD143" s="516">
        <v>0.07086805555555555</v>
      </c>
      <c r="DE143" s="481">
        <v>234.40200724839713</v>
      </c>
    </row>
    <row r="144" spans="1:109" ht="12.75">
      <c r="A144" s="504">
        <v>130</v>
      </c>
      <c r="B144" s="522" t="s">
        <v>523</v>
      </c>
      <c r="C144" s="371" t="s">
        <v>524</v>
      </c>
      <c r="D144" s="371" t="s">
        <v>525</v>
      </c>
      <c r="F144" s="548"/>
      <c r="G144" s="506">
        <f aca="true" t="shared" si="7" ref="G144:G175">H144</f>
        <v>1197.8971205406947</v>
      </c>
      <c r="H144" s="507">
        <f t="shared" si="6"/>
        <v>1197.8971205406947</v>
      </c>
      <c r="I144" s="508">
        <v>3</v>
      </c>
      <c r="J144" s="524"/>
      <c r="K144" s="499"/>
      <c r="M144" s="491"/>
      <c r="N144" s="524"/>
      <c r="O144" s="499"/>
      <c r="P144" s="516"/>
      <c r="Q144" s="481"/>
      <c r="R144" s="524"/>
      <c r="S144" s="499"/>
      <c r="T144" s="516"/>
      <c r="U144" s="481"/>
      <c r="V144" s="524"/>
      <c r="W144" s="499"/>
      <c r="X144" s="516"/>
      <c r="Y144" s="481"/>
      <c r="Z144" s="509" t="s">
        <v>443</v>
      </c>
      <c r="AA144" s="509" t="s">
        <v>1</v>
      </c>
      <c r="AB144" s="520">
        <v>0.01958333333333333</v>
      </c>
      <c r="AC144" s="481">
        <v>582.8351836037577</v>
      </c>
      <c r="AD144" s="509" t="s">
        <v>443</v>
      </c>
      <c r="AE144" s="509" t="s">
        <v>1</v>
      </c>
      <c r="AF144" s="520">
        <v>0.08721064814814815</v>
      </c>
      <c r="AG144" s="481">
        <v>615.061936936937</v>
      </c>
      <c r="AH144" s="509" t="s">
        <v>443</v>
      </c>
      <c r="AI144" s="509" t="s">
        <v>1</v>
      </c>
      <c r="AJ144" s="501" t="s">
        <v>358</v>
      </c>
      <c r="AK144" s="481">
        <v>0</v>
      </c>
      <c r="AL144" s="524"/>
      <c r="AM144" s="537"/>
      <c r="AN144" s="526"/>
      <c r="AO144" s="481"/>
      <c r="AP144" s="524"/>
      <c r="AQ144" s="524"/>
      <c r="AR144" s="516"/>
      <c r="AS144" s="481"/>
      <c r="AT144" s="499"/>
      <c r="AU144" s="499"/>
      <c r="AV144" s="498"/>
      <c r="AW144" s="491"/>
      <c r="AX144" s="499"/>
      <c r="AY144" s="499"/>
      <c r="AZ144" s="498"/>
      <c r="BA144" s="491"/>
      <c r="BB144" s="499"/>
      <c r="BC144" s="499"/>
      <c r="BD144" s="498"/>
      <c r="BE144" s="491"/>
      <c r="BF144" s="499"/>
      <c r="BG144" s="499"/>
      <c r="BH144" s="526"/>
      <c r="BI144" s="481"/>
      <c r="BJ144" s="499"/>
      <c r="BK144" s="499"/>
      <c r="BL144" s="498"/>
      <c r="BM144" s="491"/>
      <c r="BN144" s="499"/>
      <c r="BO144" s="499"/>
      <c r="BP144" s="516"/>
      <c r="BQ144" s="481"/>
      <c r="BR144" s="499"/>
      <c r="BS144" s="499"/>
      <c r="BT144" s="516"/>
      <c r="BU144" s="481"/>
      <c r="BV144" s="499"/>
      <c r="BW144" s="499"/>
      <c r="BX144" s="516"/>
      <c r="BY144" s="481"/>
      <c r="BZ144" s="499"/>
      <c r="CA144" s="499"/>
      <c r="CB144" s="516"/>
      <c r="CC144" s="481"/>
      <c r="CD144" s="499"/>
      <c r="CE144" s="499"/>
      <c r="CF144" s="516"/>
      <c r="CG144" s="481"/>
      <c r="CH144" s="499"/>
      <c r="CI144" s="499"/>
      <c r="CJ144" s="526"/>
      <c r="CK144" s="481"/>
      <c r="CL144" s="499"/>
      <c r="CM144" s="499"/>
      <c r="CN144" s="526"/>
      <c r="CO144" s="481"/>
      <c r="CP144" s="499"/>
      <c r="CQ144" s="499"/>
      <c r="CR144" s="526"/>
      <c r="CS144" s="481"/>
      <c r="CT144" s="499"/>
      <c r="CU144" s="499"/>
      <c r="CV144" s="526"/>
      <c r="CW144" s="481"/>
      <c r="CX144" s="499"/>
      <c r="CY144" s="499"/>
      <c r="CZ144" s="516"/>
      <c r="DA144" s="481"/>
      <c r="DB144" s="499"/>
      <c r="DC144" s="499"/>
      <c r="DD144" s="516"/>
      <c r="DE144" s="481"/>
    </row>
    <row r="145" spans="1:111" ht="12.75">
      <c r="A145" s="504">
        <v>131</v>
      </c>
      <c r="B145" s="522" t="s">
        <v>527</v>
      </c>
      <c r="C145" s="371" t="s">
        <v>528</v>
      </c>
      <c r="D145" s="371" t="s">
        <v>529</v>
      </c>
      <c r="F145" s="548"/>
      <c r="G145" s="506">
        <f t="shared" si="7"/>
        <v>1196.6536009404313</v>
      </c>
      <c r="H145" s="507">
        <f t="shared" si="6"/>
        <v>1196.6536009404313</v>
      </c>
      <c r="I145" s="508">
        <v>3</v>
      </c>
      <c r="J145" s="524"/>
      <c r="K145" s="499"/>
      <c r="M145" s="491"/>
      <c r="N145" s="524"/>
      <c r="O145" s="499"/>
      <c r="P145" s="516"/>
      <c r="Q145" s="481"/>
      <c r="R145" s="524"/>
      <c r="S145" s="499"/>
      <c r="T145" s="516"/>
      <c r="U145" s="481"/>
      <c r="V145" s="524"/>
      <c r="W145" s="499"/>
      <c r="X145" s="516"/>
      <c r="Y145" s="481"/>
      <c r="Z145" s="509" t="s">
        <v>443</v>
      </c>
      <c r="AA145" s="509" t="s">
        <v>1</v>
      </c>
      <c r="AB145" s="520">
        <v>0.0218287037037037</v>
      </c>
      <c r="AC145" s="481">
        <v>408.8812980358669</v>
      </c>
      <c r="AD145" s="509" t="s">
        <v>443</v>
      </c>
      <c r="AE145" s="509" t="s">
        <v>1</v>
      </c>
      <c r="AF145" s="501" t="s">
        <v>358</v>
      </c>
      <c r="AG145" s="491">
        <v>0</v>
      </c>
      <c r="AH145" s="509" t="s">
        <v>443</v>
      </c>
      <c r="AI145" s="509" t="s">
        <v>1</v>
      </c>
      <c r="AJ145" s="520">
        <v>0.055775462962962964</v>
      </c>
      <c r="AK145" s="481">
        <v>787.7723029045644</v>
      </c>
      <c r="AL145" s="524"/>
      <c r="AM145" s="537"/>
      <c r="AN145" s="526"/>
      <c r="AO145" s="481"/>
      <c r="AP145" s="524"/>
      <c r="AQ145" s="498"/>
      <c r="AR145" s="535"/>
      <c r="AS145" s="481"/>
      <c r="AT145" s="499"/>
      <c r="AU145" s="499"/>
      <c r="AV145" s="498"/>
      <c r="AW145" s="491"/>
      <c r="AX145" s="499"/>
      <c r="AY145" s="499"/>
      <c r="AZ145" s="498"/>
      <c r="BA145" s="491"/>
      <c r="BB145" s="499"/>
      <c r="BC145" s="499"/>
      <c r="BD145" s="498"/>
      <c r="BE145" s="491"/>
      <c r="BF145" s="499"/>
      <c r="BG145" s="499"/>
      <c r="BH145" s="526"/>
      <c r="BI145" s="481"/>
      <c r="BJ145" s="499"/>
      <c r="BK145" s="499"/>
      <c r="BL145" s="516"/>
      <c r="BM145" s="481"/>
      <c r="BN145" s="499"/>
      <c r="BO145" s="499"/>
      <c r="BP145" s="516"/>
      <c r="BQ145" s="481"/>
      <c r="BR145" s="499"/>
      <c r="BS145" s="499"/>
      <c r="BT145" s="516"/>
      <c r="BU145" s="481"/>
      <c r="BV145" s="499"/>
      <c r="BW145" s="499"/>
      <c r="BX145" s="526"/>
      <c r="BY145" s="481"/>
      <c r="BZ145" s="499"/>
      <c r="CA145" s="499"/>
      <c r="CB145" s="526"/>
      <c r="CC145" s="481"/>
      <c r="CD145" s="499"/>
      <c r="CE145" s="499"/>
      <c r="CF145" s="526"/>
      <c r="CG145" s="481"/>
      <c r="CH145" s="499"/>
      <c r="CI145" s="499"/>
      <c r="CJ145" s="516"/>
      <c r="CK145" s="481"/>
      <c r="CL145" s="499"/>
      <c r="CM145" s="499"/>
      <c r="CN145" s="516"/>
      <c r="CO145" s="481"/>
      <c r="CP145" s="499"/>
      <c r="CQ145" s="499"/>
      <c r="CR145" s="526"/>
      <c r="CS145" s="481"/>
      <c r="CT145" s="499"/>
      <c r="CU145" s="499"/>
      <c r="CV145" s="526"/>
      <c r="CW145" s="481"/>
      <c r="CX145" s="499"/>
      <c r="CY145" s="499"/>
      <c r="CZ145" s="526"/>
      <c r="DA145" s="481"/>
      <c r="DB145" s="499"/>
      <c r="DC145" s="499"/>
      <c r="DD145" s="526"/>
      <c r="DE145" s="481"/>
      <c r="DF145" s="494"/>
      <c r="DG145" s="494"/>
    </row>
    <row r="146" spans="1:109" ht="12.75">
      <c r="A146" s="504">
        <v>132</v>
      </c>
      <c r="B146" s="519" t="s">
        <v>576</v>
      </c>
      <c r="C146" s="371" t="s">
        <v>10</v>
      </c>
      <c r="D146" s="371" t="s">
        <v>215</v>
      </c>
      <c r="E146" s="495" t="s">
        <v>375</v>
      </c>
      <c r="F146" s="190">
        <v>1962</v>
      </c>
      <c r="G146" s="506">
        <f t="shared" si="7"/>
        <v>1195.9822331984033</v>
      </c>
      <c r="H146" s="507">
        <f t="shared" si="6"/>
        <v>1195.9822331984033</v>
      </c>
      <c r="I146" s="508">
        <v>2</v>
      </c>
      <c r="J146" s="524"/>
      <c r="K146" s="499"/>
      <c r="M146" s="491"/>
      <c r="N146" s="524" t="s">
        <v>64</v>
      </c>
      <c r="O146" s="499" t="s">
        <v>2</v>
      </c>
      <c r="P146" s="516">
        <v>0.06653935185185185</v>
      </c>
      <c r="Q146" s="481">
        <v>518.8528443817584</v>
      </c>
      <c r="R146" s="524"/>
      <c r="S146" s="499"/>
      <c r="T146" s="516"/>
      <c r="U146" s="481"/>
      <c r="V146" s="524"/>
      <c r="W146" s="499"/>
      <c r="Y146" s="481"/>
      <c r="Z146" s="524"/>
      <c r="AA146" s="499"/>
      <c r="AC146" s="481"/>
      <c r="AD146" s="524"/>
      <c r="AE146" s="524"/>
      <c r="AG146" s="491"/>
      <c r="AH146" s="524"/>
      <c r="AI146" s="524"/>
      <c r="AK146" s="481"/>
      <c r="AL146" s="509" t="s">
        <v>651</v>
      </c>
      <c r="AM146" s="509" t="s">
        <v>172</v>
      </c>
      <c r="AN146" s="513">
        <v>0.07979166666666666</v>
      </c>
      <c r="AO146" s="481">
        <v>677.129388816645</v>
      </c>
      <c r="AP146" s="509"/>
      <c r="AQ146" s="509"/>
      <c r="AR146" s="526"/>
      <c r="AS146" s="481"/>
      <c r="AT146" s="499"/>
      <c r="AU146" s="499"/>
      <c r="AV146" s="526"/>
      <c r="AW146" s="481"/>
      <c r="AX146" s="499"/>
      <c r="AY146" s="499"/>
      <c r="AZ146" s="526"/>
      <c r="BA146" s="481"/>
      <c r="BB146" s="499"/>
      <c r="BC146" s="499"/>
      <c r="BD146" s="516"/>
      <c r="BE146" s="481"/>
      <c r="BF146" s="499"/>
      <c r="BG146" s="499"/>
      <c r="BH146" s="516"/>
      <c r="BI146" s="481"/>
      <c r="BJ146" s="499"/>
      <c r="BK146" s="499"/>
      <c r="BL146" s="516"/>
      <c r="BM146" s="491"/>
      <c r="BN146" s="499"/>
      <c r="BO146" s="499"/>
      <c r="BP146" s="526"/>
      <c r="BQ146" s="481"/>
      <c r="BR146" s="499"/>
      <c r="BS146" s="499"/>
      <c r="BT146" s="526"/>
      <c r="BU146" s="481"/>
      <c r="BV146" s="499"/>
      <c r="BW146" s="499"/>
      <c r="BX146" s="526"/>
      <c r="BY146" s="481"/>
      <c r="BZ146" s="499"/>
      <c r="CA146" s="499"/>
      <c r="CB146" s="526"/>
      <c r="CC146" s="481"/>
      <c r="CD146" s="499"/>
      <c r="CE146" s="499"/>
      <c r="CF146" s="526"/>
      <c r="CG146" s="481"/>
      <c r="CH146" s="509"/>
      <c r="CI146" s="509"/>
      <c r="CJ146" s="513"/>
      <c r="CK146" s="515"/>
      <c r="CL146" s="509"/>
      <c r="CM146" s="509"/>
      <c r="CN146" s="513"/>
      <c r="CO146" s="515"/>
      <c r="CP146" s="499"/>
      <c r="CQ146" s="499"/>
      <c r="CR146" s="526"/>
      <c r="CS146" s="481"/>
      <c r="CT146" s="499"/>
      <c r="CU146" s="499"/>
      <c r="CV146" s="526"/>
      <c r="CW146" s="481"/>
      <c r="CX146" s="499"/>
      <c r="CY146" s="499"/>
      <c r="CZ146" s="526"/>
      <c r="DA146" s="481"/>
      <c r="DB146" s="499"/>
      <c r="DC146" s="499"/>
      <c r="DD146" s="516"/>
      <c r="DE146" s="481"/>
    </row>
    <row r="147" spans="1:109" ht="12.75">
      <c r="A147" s="504">
        <v>133</v>
      </c>
      <c r="B147" s="522" t="s">
        <v>228</v>
      </c>
      <c r="C147" s="371" t="s">
        <v>10</v>
      </c>
      <c r="D147" s="371" t="s">
        <v>11</v>
      </c>
      <c r="E147" s="495" t="s">
        <v>375</v>
      </c>
      <c r="F147" s="548">
        <v>1967</v>
      </c>
      <c r="G147" s="506">
        <f t="shared" si="7"/>
        <v>1157.3525669432433</v>
      </c>
      <c r="H147" s="507">
        <f t="shared" si="6"/>
        <v>1157.3525669432433</v>
      </c>
      <c r="I147" s="508">
        <v>3</v>
      </c>
      <c r="J147" s="524"/>
      <c r="K147" s="499"/>
      <c r="L147" s="526"/>
      <c r="M147" s="481"/>
      <c r="N147" s="524"/>
      <c r="O147" s="499"/>
      <c r="P147" s="516"/>
      <c r="Q147" s="481"/>
      <c r="R147" s="524"/>
      <c r="S147" s="499"/>
      <c r="T147" s="516"/>
      <c r="U147" s="481"/>
      <c r="V147" s="524"/>
      <c r="W147" s="499"/>
      <c r="X147" s="516"/>
      <c r="Y147" s="481"/>
      <c r="Z147" s="509"/>
      <c r="AA147" s="509"/>
      <c r="AB147" s="513"/>
      <c r="AC147" s="481"/>
      <c r="AD147" s="509"/>
      <c r="AE147" s="509"/>
      <c r="AF147" s="513"/>
      <c r="AG147" s="481"/>
      <c r="AH147" s="509"/>
      <c r="AI147" s="509"/>
      <c r="AJ147" s="513"/>
      <c r="AK147" s="481"/>
      <c r="AL147" s="509" t="s">
        <v>372</v>
      </c>
      <c r="AM147" s="509" t="s">
        <v>158</v>
      </c>
      <c r="AN147" s="513">
        <v>0.10628472222222222</v>
      </c>
      <c r="AO147" s="481">
        <v>339.53243100720687</v>
      </c>
      <c r="AP147" s="509" t="s">
        <v>372</v>
      </c>
      <c r="AQ147" s="509" t="s">
        <v>2</v>
      </c>
      <c r="AR147" s="513">
        <v>0.027696759259259258</v>
      </c>
      <c r="AS147" s="481">
        <v>462.50154035736307</v>
      </c>
      <c r="AT147" s="524"/>
      <c r="AU147" s="524"/>
      <c r="AV147" s="526"/>
      <c r="AW147" s="481"/>
      <c r="AX147" s="524"/>
      <c r="AY147" s="524"/>
      <c r="AZ147" s="526"/>
      <c r="BA147" s="481"/>
      <c r="BB147" s="524"/>
      <c r="BC147" s="524"/>
      <c r="BD147" s="516"/>
      <c r="BE147" s="481"/>
      <c r="BF147" s="499"/>
      <c r="BG147" s="499"/>
      <c r="BH147" s="526"/>
      <c r="BI147" s="481"/>
      <c r="BJ147" s="499"/>
      <c r="BK147" s="499"/>
      <c r="BL147" s="516"/>
      <c r="BM147" s="491"/>
      <c r="BN147" s="499"/>
      <c r="BO147" s="499"/>
      <c r="BP147" s="526"/>
      <c r="BQ147" s="481"/>
      <c r="BR147" s="499"/>
      <c r="BS147" s="499"/>
      <c r="BT147" s="526"/>
      <c r="BU147" s="481"/>
      <c r="BV147" s="499"/>
      <c r="BW147" s="499"/>
      <c r="BX147" s="526"/>
      <c r="BY147" s="481"/>
      <c r="BZ147" s="499"/>
      <c r="CA147" s="499"/>
      <c r="CB147" s="526"/>
      <c r="CC147" s="481"/>
      <c r="CD147" s="509" t="s">
        <v>372</v>
      </c>
      <c r="CE147" s="509" t="s">
        <v>2</v>
      </c>
      <c r="CF147" s="513">
        <v>0.05682870370370371</v>
      </c>
      <c r="CG147" s="481">
        <v>355.3185955786735</v>
      </c>
      <c r="CH147" s="499"/>
      <c r="CI147" s="499"/>
      <c r="CJ147" s="526"/>
      <c r="CK147" s="481"/>
      <c r="CL147" s="499"/>
      <c r="CM147" s="499"/>
      <c r="CN147" s="526"/>
      <c r="CO147" s="481"/>
      <c r="CP147" s="499"/>
      <c r="CQ147" s="499"/>
      <c r="CR147" s="526"/>
      <c r="CS147" s="481"/>
      <c r="CT147" s="499"/>
      <c r="CU147" s="499"/>
      <c r="CV147" s="526"/>
      <c r="CW147" s="481"/>
      <c r="CX147" s="499"/>
      <c r="CY147" s="499"/>
      <c r="CZ147" s="516"/>
      <c r="DA147" s="481"/>
      <c r="DB147" s="499"/>
      <c r="DC147" s="499"/>
      <c r="DD147" s="516"/>
      <c r="DE147" s="481"/>
    </row>
    <row r="148" spans="1:109" ht="12.75">
      <c r="A148" s="504">
        <v>134</v>
      </c>
      <c r="B148" s="505" t="s">
        <v>347</v>
      </c>
      <c r="C148" s="371" t="s">
        <v>10</v>
      </c>
      <c r="D148" s="371" t="s">
        <v>215</v>
      </c>
      <c r="E148" s="495" t="s">
        <v>360</v>
      </c>
      <c r="F148" s="548">
        <v>1972</v>
      </c>
      <c r="G148" s="506">
        <f t="shared" si="7"/>
        <v>1147.7574047954868</v>
      </c>
      <c r="H148" s="507">
        <f t="shared" si="6"/>
        <v>1147.7574047954868</v>
      </c>
      <c r="I148" s="508">
        <v>2</v>
      </c>
      <c r="J148" s="524" t="s">
        <v>571</v>
      </c>
      <c r="K148" s="499" t="s">
        <v>2</v>
      </c>
      <c r="L148" s="516">
        <v>0.04508101851851851</v>
      </c>
      <c r="M148" s="481">
        <v>506.6666666666668</v>
      </c>
      <c r="N148" s="524" t="s">
        <v>64</v>
      </c>
      <c r="O148" s="499" t="s">
        <v>2</v>
      </c>
      <c r="P148" s="516">
        <v>0.0590162037037037</v>
      </c>
      <c r="Q148" s="481">
        <v>641.0907381288199</v>
      </c>
      <c r="R148" s="524"/>
      <c r="S148" s="499"/>
      <c r="T148" s="516"/>
      <c r="U148" s="481"/>
      <c r="V148" s="524"/>
      <c r="W148" s="499"/>
      <c r="X148" s="516"/>
      <c r="Y148" s="481"/>
      <c r="Z148" s="524"/>
      <c r="AA148" s="499"/>
      <c r="AB148" s="516"/>
      <c r="AC148" s="481"/>
      <c r="AD148" s="524"/>
      <c r="AE148" s="537"/>
      <c r="AF148" s="516"/>
      <c r="AG148" s="491"/>
      <c r="AH148" s="524"/>
      <c r="AI148" s="537"/>
      <c r="AJ148" s="516"/>
      <c r="AK148" s="481"/>
      <c r="AL148" s="524"/>
      <c r="AM148" s="524"/>
      <c r="AN148" s="516"/>
      <c r="AO148" s="481"/>
      <c r="AP148" s="524"/>
      <c r="AQ148" s="468"/>
      <c r="AR148" s="535"/>
      <c r="AS148" s="481"/>
      <c r="AT148" s="499"/>
      <c r="AU148" s="499"/>
      <c r="AV148" s="526"/>
      <c r="AW148" s="481"/>
      <c r="AX148" s="499"/>
      <c r="AY148" s="499"/>
      <c r="AZ148" s="526"/>
      <c r="BA148" s="481"/>
      <c r="BB148" s="499"/>
      <c r="BC148" s="499"/>
      <c r="BD148" s="498"/>
      <c r="BE148" s="481"/>
      <c r="BF148" s="499"/>
      <c r="BG148" s="499"/>
      <c r="BH148" s="526"/>
      <c r="BI148" s="481"/>
      <c r="BJ148" s="499"/>
      <c r="BK148" s="499"/>
      <c r="BL148" s="516"/>
      <c r="BM148" s="491"/>
      <c r="BN148" s="499"/>
      <c r="BO148" s="499"/>
      <c r="BP148" s="526"/>
      <c r="BQ148" s="481"/>
      <c r="BR148" s="499"/>
      <c r="BS148" s="499"/>
      <c r="BT148" s="526"/>
      <c r="BU148" s="481"/>
      <c r="BV148" s="499"/>
      <c r="BW148" s="499"/>
      <c r="BX148" s="526"/>
      <c r="BY148" s="481"/>
      <c r="BZ148" s="499"/>
      <c r="CA148" s="499"/>
      <c r="CB148" s="526"/>
      <c r="CC148" s="481"/>
      <c r="CD148" s="509"/>
      <c r="CE148" s="509"/>
      <c r="CF148" s="501"/>
      <c r="CG148" s="481"/>
      <c r="CH148" s="499"/>
      <c r="CI148" s="499"/>
      <c r="CJ148" s="526"/>
      <c r="CK148" s="481"/>
      <c r="CL148" s="499"/>
      <c r="CM148" s="499"/>
      <c r="CN148" s="526"/>
      <c r="CO148" s="481"/>
      <c r="CP148" s="499"/>
      <c r="CQ148" s="499"/>
      <c r="CR148" s="526"/>
      <c r="CS148" s="481"/>
      <c r="CT148" s="499"/>
      <c r="CU148" s="499"/>
      <c r="CV148" s="526"/>
      <c r="CW148" s="481"/>
      <c r="CX148" s="499"/>
      <c r="CY148" s="499"/>
      <c r="CZ148" s="516"/>
      <c r="DA148" s="481"/>
      <c r="DB148" s="499"/>
      <c r="DC148" s="499"/>
      <c r="DD148" s="526"/>
      <c r="DE148" s="481"/>
    </row>
    <row r="149" spans="1:109" ht="12.75">
      <c r="A149" s="504">
        <v>135</v>
      </c>
      <c r="B149" s="522" t="s">
        <v>808</v>
      </c>
      <c r="C149" s="371" t="s">
        <v>10</v>
      </c>
      <c r="D149" s="371" t="s">
        <v>192</v>
      </c>
      <c r="E149" s="495" t="s">
        <v>359</v>
      </c>
      <c r="F149" s="548">
        <v>2004</v>
      </c>
      <c r="G149" s="506">
        <f t="shared" si="7"/>
        <v>1123.5902580604456</v>
      </c>
      <c r="H149" s="507">
        <f t="shared" si="6"/>
        <v>1123.5902580604456</v>
      </c>
      <c r="I149" s="508">
        <v>5</v>
      </c>
      <c r="J149" s="524"/>
      <c r="K149" s="499"/>
      <c r="M149" s="491"/>
      <c r="N149" s="524"/>
      <c r="O149" s="499"/>
      <c r="P149" s="516"/>
      <c r="Q149" s="491"/>
      <c r="R149" s="524"/>
      <c r="S149" s="499"/>
      <c r="U149" s="491"/>
      <c r="V149" s="524"/>
      <c r="W149" s="499"/>
      <c r="Y149" s="491"/>
      <c r="Z149" s="524"/>
      <c r="AA149" s="499"/>
      <c r="AC149" s="491"/>
      <c r="AD149" s="524"/>
      <c r="AE149" s="524"/>
      <c r="AG149" s="491"/>
      <c r="AH149" s="524"/>
      <c r="AI149" s="524"/>
      <c r="AJ149" s="516"/>
      <c r="AK149" s="491"/>
      <c r="AL149" s="524"/>
      <c r="AM149" s="524"/>
      <c r="AO149" s="491"/>
      <c r="AP149" s="541"/>
      <c r="AQ149" s="509"/>
      <c r="AS149" s="502"/>
      <c r="AT149" s="509"/>
      <c r="AU149" s="509"/>
      <c r="AW149" s="502"/>
      <c r="AX149" s="499"/>
      <c r="AY149" s="499"/>
      <c r="AZ149" s="516"/>
      <c r="BA149" s="502"/>
      <c r="BB149" s="499"/>
      <c r="BC149" s="499"/>
      <c r="BD149" s="498"/>
      <c r="BE149" s="491"/>
      <c r="BF149" s="499"/>
      <c r="BG149" s="499"/>
      <c r="BH149" s="498"/>
      <c r="BI149" s="491"/>
      <c r="BJ149" s="499"/>
      <c r="BK149" s="499"/>
      <c r="BL149" s="516"/>
      <c r="BM149" s="502"/>
      <c r="BN149" s="509"/>
      <c r="BO149" s="509"/>
      <c r="BP149" s="501"/>
      <c r="BQ149" s="502"/>
      <c r="BR149" s="509"/>
      <c r="BS149" s="509"/>
      <c r="BT149" s="501"/>
      <c r="BU149" s="502"/>
      <c r="BV149" s="509"/>
      <c r="BW149" s="509"/>
      <c r="BX149" s="520"/>
      <c r="BY149" s="515"/>
      <c r="BZ149" s="499"/>
      <c r="CA149" s="499"/>
      <c r="CB149" s="516"/>
      <c r="CC149" s="481"/>
      <c r="CD149" s="509" t="s">
        <v>644</v>
      </c>
      <c r="CE149" s="509" t="s">
        <v>172</v>
      </c>
      <c r="CF149" s="513">
        <v>0.05232638888888889</v>
      </c>
      <c r="CG149" s="481">
        <v>92.07407407407408</v>
      </c>
      <c r="CH149" s="499"/>
      <c r="CI149" s="499"/>
      <c r="CJ149" s="526"/>
      <c r="CK149" s="481"/>
      <c r="CL149" s="499"/>
      <c r="CM149" s="499"/>
      <c r="CN149" s="526"/>
      <c r="CO149" s="481"/>
      <c r="CP149" s="499" t="s">
        <v>845</v>
      </c>
      <c r="CQ149" s="499" t="s">
        <v>158</v>
      </c>
      <c r="CR149" s="501" t="s">
        <v>358</v>
      </c>
      <c r="CS149" s="481">
        <v>0</v>
      </c>
      <c r="CT149" s="499" t="s">
        <v>845</v>
      </c>
      <c r="CU149" s="499" t="s">
        <v>158</v>
      </c>
      <c r="CV149" s="513">
        <v>0.010243055555555556</v>
      </c>
      <c r="CW149" s="481">
        <v>700</v>
      </c>
      <c r="CX149" s="499" t="s">
        <v>397</v>
      </c>
      <c r="CY149" s="509" t="s">
        <v>158</v>
      </c>
      <c r="CZ149" s="513">
        <v>0.04148148148148148</v>
      </c>
      <c r="DA149" s="481">
        <v>331.51618398637146</v>
      </c>
      <c r="DB149" s="499" t="s">
        <v>397</v>
      </c>
      <c r="DC149" s="509" t="s">
        <v>158</v>
      </c>
      <c r="DD149" s="526" t="s">
        <v>358</v>
      </c>
      <c r="DE149" s="481">
        <v>0</v>
      </c>
    </row>
    <row r="150" spans="1:109" ht="12.75">
      <c r="A150" s="504">
        <v>136</v>
      </c>
      <c r="B150" s="522" t="s">
        <v>534</v>
      </c>
      <c r="C150" s="371" t="s">
        <v>491</v>
      </c>
      <c r="D150" s="371" t="s">
        <v>492</v>
      </c>
      <c r="F150" s="548"/>
      <c r="G150" s="506">
        <f t="shared" si="7"/>
        <v>1026.03734439834</v>
      </c>
      <c r="H150" s="507">
        <f t="shared" si="6"/>
        <v>1026.03734439834</v>
      </c>
      <c r="I150" s="508">
        <v>3</v>
      </c>
      <c r="J150" s="524"/>
      <c r="K150" s="499"/>
      <c r="M150" s="491"/>
      <c r="N150" s="524"/>
      <c r="O150" s="499"/>
      <c r="P150" s="516"/>
      <c r="Q150" s="481"/>
      <c r="R150" s="524"/>
      <c r="S150" s="499"/>
      <c r="T150" s="516"/>
      <c r="U150" s="481"/>
      <c r="V150" s="524"/>
      <c r="W150" s="499"/>
      <c r="X150" s="516"/>
      <c r="Y150" s="481"/>
      <c r="Z150" s="509" t="s">
        <v>443</v>
      </c>
      <c r="AA150" s="509" t="s">
        <v>1</v>
      </c>
      <c r="AB150" s="520" t="s">
        <v>358</v>
      </c>
      <c r="AC150" s="481">
        <v>0</v>
      </c>
      <c r="AD150" s="509" t="s">
        <v>443</v>
      </c>
      <c r="AE150" s="509" t="s">
        <v>1</v>
      </c>
      <c r="AF150" s="501" t="s">
        <v>358</v>
      </c>
      <c r="AG150" s="491">
        <v>0</v>
      </c>
      <c r="AH150" s="509" t="s">
        <v>443</v>
      </c>
      <c r="AI150" s="509" t="s">
        <v>1</v>
      </c>
      <c r="AJ150" s="520">
        <v>0.04564814814814815</v>
      </c>
      <c r="AK150" s="481">
        <v>1026.03734439834</v>
      </c>
      <c r="AL150" s="524"/>
      <c r="AM150" s="537"/>
      <c r="AN150" s="526"/>
      <c r="AO150" s="481"/>
      <c r="AP150" s="524"/>
      <c r="AQ150" s="498"/>
      <c r="AR150" s="526"/>
      <c r="AS150" s="481"/>
      <c r="AT150" s="499"/>
      <c r="AU150" s="499"/>
      <c r="AV150" s="526"/>
      <c r="AW150" s="481"/>
      <c r="AX150" s="524"/>
      <c r="AY150" s="524"/>
      <c r="AZ150" s="516"/>
      <c r="BA150" s="481"/>
      <c r="BB150" s="499"/>
      <c r="BC150" s="499"/>
      <c r="BD150" s="516"/>
      <c r="BE150" s="481"/>
      <c r="BF150" s="499"/>
      <c r="BG150" s="499"/>
      <c r="BH150" s="526"/>
      <c r="BI150" s="481"/>
      <c r="BJ150" s="499"/>
      <c r="BK150" s="499"/>
      <c r="BL150" s="516"/>
      <c r="BM150" s="481"/>
      <c r="BN150" s="499"/>
      <c r="BO150" s="499"/>
      <c r="BP150" s="526"/>
      <c r="BQ150" s="481"/>
      <c r="BR150" s="499"/>
      <c r="BS150" s="499"/>
      <c r="BT150" s="526"/>
      <c r="BU150" s="481"/>
      <c r="BV150" s="499"/>
      <c r="BW150" s="499"/>
      <c r="BX150" s="516"/>
      <c r="BY150" s="481"/>
      <c r="BZ150" s="499"/>
      <c r="CA150" s="499"/>
      <c r="CB150" s="526"/>
      <c r="CC150" s="481"/>
      <c r="CD150" s="499"/>
      <c r="CE150" s="499"/>
      <c r="CF150" s="526"/>
      <c r="CG150" s="481"/>
      <c r="CH150" s="499"/>
      <c r="CI150" s="499"/>
      <c r="CJ150" s="526"/>
      <c r="CK150" s="481"/>
      <c r="CL150" s="499"/>
      <c r="CM150" s="499"/>
      <c r="CN150" s="526"/>
      <c r="CO150" s="481"/>
      <c r="CP150" s="499"/>
      <c r="CQ150" s="499"/>
      <c r="CR150" s="526"/>
      <c r="CS150" s="481"/>
      <c r="CT150" s="499"/>
      <c r="CU150" s="499"/>
      <c r="CV150" s="526"/>
      <c r="CW150" s="481"/>
      <c r="CX150" s="499"/>
      <c r="CY150" s="499"/>
      <c r="CZ150" s="516"/>
      <c r="DA150" s="481"/>
      <c r="DB150" s="499"/>
      <c r="DC150" s="499"/>
      <c r="DD150" s="516"/>
      <c r="DE150" s="481"/>
    </row>
    <row r="151" spans="1:109" ht="12.75">
      <c r="A151" s="504">
        <v>137</v>
      </c>
      <c r="B151" s="522" t="s">
        <v>530</v>
      </c>
      <c r="C151" s="371" t="s">
        <v>10</v>
      </c>
      <c r="D151" s="371" t="s">
        <v>531</v>
      </c>
      <c r="G151" s="506">
        <f t="shared" si="7"/>
        <v>1019.4056517553043</v>
      </c>
      <c r="H151" s="507">
        <f t="shared" si="6"/>
        <v>1019.4056517553043</v>
      </c>
      <c r="I151" s="508">
        <v>2</v>
      </c>
      <c r="J151" s="524"/>
      <c r="K151" s="499"/>
      <c r="L151" s="526"/>
      <c r="M151" s="481"/>
      <c r="N151" s="524"/>
      <c r="O151" s="499"/>
      <c r="Q151" s="481"/>
      <c r="R151" s="524"/>
      <c r="S151" s="499"/>
      <c r="T151" s="516"/>
      <c r="U151" s="481"/>
      <c r="V151" s="524"/>
      <c r="W151" s="499"/>
      <c r="X151" s="516"/>
      <c r="Y151" s="481"/>
      <c r="Z151" s="509" t="s">
        <v>443</v>
      </c>
      <c r="AA151" s="509" t="s">
        <v>1</v>
      </c>
      <c r="AB151" s="520">
        <v>0.021909722222222223</v>
      </c>
      <c r="AC151" s="481">
        <v>402.60461144321084</v>
      </c>
      <c r="AD151" s="524"/>
      <c r="AE151" s="537"/>
      <c r="AF151" s="516"/>
      <c r="AG151" s="491"/>
      <c r="AH151" s="524"/>
      <c r="AI151" s="537"/>
      <c r="AJ151" s="516"/>
      <c r="AK151" s="481"/>
      <c r="AL151" s="524"/>
      <c r="AM151" s="537"/>
      <c r="AN151" s="526"/>
      <c r="AO151" s="481"/>
      <c r="AP151" s="524"/>
      <c r="AQ151" s="524"/>
      <c r="AR151" s="535"/>
      <c r="AS151" s="481"/>
      <c r="AT151" s="499"/>
      <c r="AU151" s="499"/>
      <c r="AV151" s="526"/>
      <c r="AW151" s="481"/>
      <c r="AX151" s="499"/>
      <c r="AY151" s="499"/>
      <c r="AZ151" s="526"/>
      <c r="BA151" s="481"/>
      <c r="BB151" s="499"/>
      <c r="BC151" s="499"/>
      <c r="BD151" s="516"/>
      <c r="BE151" s="481"/>
      <c r="BF151" s="499"/>
      <c r="BG151" s="499"/>
      <c r="BH151" s="516"/>
      <c r="BI151" s="481"/>
      <c r="BJ151" s="499"/>
      <c r="BK151" s="499"/>
      <c r="BL151" s="516"/>
      <c r="BM151" s="481"/>
      <c r="BN151" s="499"/>
      <c r="BO151" s="499"/>
      <c r="BP151" s="516"/>
      <c r="BQ151" s="481"/>
      <c r="BR151" s="499"/>
      <c r="BS151" s="499"/>
      <c r="BT151" s="516"/>
      <c r="BU151" s="481"/>
      <c r="BV151" s="499"/>
      <c r="BW151" s="499"/>
      <c r="BX151" s="516"/>
      <c r="BY151" s="481"/>
      <c r="BZ151" s="499"/>
      <c r="CA151" s="499"/>
      <c r="CB151" s="516"/>
      <c r="CC151" s="481"/>
      <c r="CD151" s="509" t="s">
        <v>372</v>
      </c>
      <c r="CE151" s="509" t="s">
        <v>2</v>
      </c>
      <c r="CF151" s="513">
        <v>0.046250000000000006</v>
      </c>
      <c r="CG151" s="481">
        <v>616.8010403120935</v>
      </c>
      <c r="CH151" s="509"/>
      <c r="CI151" s="509"/>
      <c r="CJ151" s="513"/>
      <c r="CK151" s="515"/>
      <c r="CL151" s="509"/>
      <c r="CM151" s="509"/>
      <c r="CN151" s="513"/>
      <c r="CO151" s="515"/>
      <c r="CP151" s="499"/>
      <c r="CQ151" s="499"/>
      <c r="CR151" s="526"/>
      <c r="CS151" s="481"/>
      <c r="CT151" s="499"/>
      <c r="CU151" s="499"/>
      <c r="CV151" s="526"/>
      <c r="CW151" s="481"/>
      <c r="CX151" s="499"/>
      <c r="CY151" s="499"/>
      <c r="CZ151" s="526"/>
      <c r="DA151" s="481"/>
      <c r="DB151" s="499"/>
      <c r="DC151" s="499"/>
      <c r="DD151" s="526"/>
      <c r="DE151" s="481"/>
    </row>
    <row r="152" spans="1:109" ht="12.75">
      <c r="A152" s="504">
        <v>138</v>
      </c>
      <c r="B152" s="505" t="s">
        <v>320</v>
      </c>
      <c r="C152" s="371" t="s">
        <v>10</v>
      </c>
      <c r="D152" s="371" t="s">
        <v>192</v>
      </c>
      <c r="E152" s="495" t="s">
        <v>359</v>
      </c>
      <c r="F152" s="548">
        <v>2000</v>
      </c>
      <c r="G152" s="506">
        <f t="shared" si="7"/>
        <v>975.5358962101925</v>
      </c>
      <c r="H152" s="507">
        <f t="shared" si="6"/>
        <v>975.5358962101925</v>
      </c>
      <c r="I152" s="508">
        <v>3</v>
      </c>
      <c r="J152" s="524"/>
      <c r="K152" s="499"/>
      <c r="M152" s="481"/>
      <c r="N152" s="524"/>
      <c r="O152" s="499"/>
      <c r="Q152" s="491"/>
      <c r="R152" s="524"/>
      <c r="S152" s="499"/>
      <c r="U152" s="481"/>
      <c r="V152" s="524"/>
      <c r="W152" s="499"/>
      <c r="Y152" s="491"/>
      <c r="Z152" s="524" t="s">
        <v>578</v>
      </c>
      <c r="AA152" s="499" t="s">
        <v>172</v>
      </c>
      <c r="AB152" s="516">
        <v>0.027546296296296294</v>
      </c>
      <c r="AC152" s="481">
        <v>10</v>
      </c>
      <c r="AD152" s="524" t="s">
        <v>578</v>
      </c>
      <c r="AE152" s="499" t="s">
        <v>172</v>
      </c>
      <c r="AF152" s="516">
        <v>0.06325231481481482</v>
      </c>
      <c r="AG152" s="481">
        <v>498.356313497823</v>
      </c>
      <c r="AH152" s="524" t="s">
        <v>578</v>
      </c>
      <c r="AI152" s="499" t="s">
        <v>172</v>
      </c>
      <c r="AJ152" s="516">
        <v>0.04238425925925926</v>
      </c>
      <c r="AK152" s="481">
        <v>467.17958271236955</v>
      </c>
      <c r="AL152" s="524"/>
      <c r="AM152" s="537"/>
      <c r="AN152" s="526"/>
      <c r="AO152" s="481"/>
      <c r="AP152" s="524"/>
      <c r="AQ152" s="498"/>
      <c r="AR152" s="498"/>
      <c r="AS152" s="481"/>
      <c r="AT152" s="499"/>
      <c r="AU152" s="499"/>
      <c r="AV152" s="498"/>
      <c r="AW152" s="481"/>
      <c r="AX152" s="499"/>
      <c r="AY152" s="499"/>
      <c r="AZ152" s="526"/>
      <c r="BA152" s="481"/>
      <c r="BB152" s="499"/>
      <c r="BC152" s="499"/>
      <c r="BD152" s="516"/>
      <c r="BE152" s="481"/>
      <c r="BF152" s="499"/>
      <c r="BG152" s="499"/>
      <c r="BH152" s="498"/>
      <c r="BI152" s="491"/>
      <c r="BJ152" s="499"/>
      <c r="BK152" s="499"/>
      <c r="BL152" s="498"/>
      <c r="BM152" s="491"/>
      <c r="BN152" s="499"/>
      <c r="BO152" s="499"/>
      <c r="BP152" s="526"/>
      <c r="BQ152" s="481"/>
      <c r="BR152" s="499"/>
      <c r="BS152" s="499"/>
      <c r="BT152" s="498"/>
      <c r="BU152" s="491"/>
      <c r="BV152" s="499"/>
      <c r="BW152" s="499"/>
      <c r="BX152" s="498"/>
      <c r="BY152" s="481"/>
      <c r="BZ152" s="499"/>
      <c r="CA152" s="499"/>
      <c r="CB152" s="526"/>
      <c r="CC152" s="481"/>
      <c r="CD152" s="499"/>
      <c r="CE152" s="499"/>
      <c r="CF152" s="526"/>
      <c r="CG152" s="481"/>
      <c r="CH152" s="499"/>
      <c r="CI152" s="499"/>
      <c r="CJ152" s="516"/>
      <c r="CK152" s="481"/>
      <c r="CL152" s="499"/>
      <c r="CM152" s="499"/>
      <c r="CN152" s="516"/>
      <c r="CO152" s="481"/>
      <c r="CP152" s="499"/>
      <c r="CQ152" s="499"/>
      <c r="CR152" s="516"/>
      <c r="CS152" s="515"/>
      <c r="CT152" s="509"/>
      <c r="CU152" s="509"/>
      <c r="CV152" s="520"/>
      <c r="CW152" s="515"/>
      <c r="CX152" s="509"/>
      <c r="CY152" s="509"/>
      <c r="CZ152" s="520"/>
      <c r="DA152" s="515"/>
      <c r="DB152" s="509"/>
      <c r="DC152" s="509"/>
      <c r="DD152" s="520"/>
      <c r="DE152" s="515"/>
    </row>
    <row r="153" spans="1:109" ht="12.75">
      <c r="A153" s="504">
        <v>139</v>
      </c>
      <c r="B153" s="522" t="s">
        <v>540</v>
      </c>
      <c r="C153" s="371" t="s">
        <v>473</v>
      </c>
      <c r="D153" s="371" t="s">
        <v>474</v>
      </c>
      <c r="F153" s="548"/>
      <c r="G153" s="506">
        <f t="shared" si="7"/>
        <v>935.106981981982</v>
      </c>
      <c r="H153" s="507">
        <f t="shared" si="6"/>
        <v>935.106981981982</v>
      </c>
      <c r="I153" s="508">
        <v>3</v>
      </c>
      <c r="J153" s="524"/>
      <c r="K153" s="499"/>
      <c r="M153" s="481"/>
      <c r="N153" s="524"/>
      <c r="O153" s="499"/>
      <c r="P153" s="516"/>
      <c r="Q153" s="481"/>
      <c r="R153" s="524"/>
      <c r="S153" s="499"/>
      <c r="T153" s="516"/>
      <c r="U153" s="481"/>
      <c r="V153" s="524"/>
      <c r="W153" s="499"/>
      <c r="X153" s="516"/>
      <c r="Y153" s="481"/>
      <c r="Z153" s="509" t="s">
        <v>443</v>
      </c>
      <c r="AA153" s="509" t="s">
        <v>1</v>
      </c>
      <c r="AB153" s="520" t="s">
        <v>358</v>
      </c>
      <c r="AC153" s="481">
        <v>0</v>
      </c>
      <c r="AD153" s="509" t="s">
        <v>443</v>
      </c>
      <c r="AE153" s="509" t="s">
        <v>1</v>
      </c>
      <c r="AF153" s="520">
        <v>0.06841435185185185</v>
      </c>
      <c r="AG153" s="481">
        <v>935.106981981982</v>
      </c>
      <c r="AH153" s="509" t="s">
        <v>443</v>
      </c>
      <c r="AI153" s="509" t="s">
        <v>1</v>
      </c>
      <c r="AJ153" s="501" t="s">
        <v>358</v>
      </c>
      <c r="AK153" s="481">
        <v>0</v>
      </c>
      <c r="AL153" s="524"/>
      <c r="AM153" s="524"/>
      <c r="AO153" s="481"/>
      <c r="AP153" s="524"/>
      <c r="AQ153" s="498"/>
      <c r="AR153" s="535"/>
      <c r="AS153" s="481"/>
      <c r="AT153" s="499"/>
      <c r="AU153" s="499"/>
      <c r="AV153" s="526"/>
      <c r="AW153" s="481"/>
      <c r="AX153" s="499"/>
      <c r="AY153" s="499"/>
      <c r="AZ153" s="526"/>
      <c r="BA153" s="481"/>
      <c r="BB153" s="499"/>
      <c r="BC153" s="499"/>
      <c r="BD153" s="516"/>
      <c r="BE153" s="481"/>
      <c r="BF153" s="499"/>
      <c r="BG153" s="499"/>
      <c r="BH153" s="526"/>
      <c r="BI153" s="481"/>
      <c r="BJ153" s="499"/>
      <c r="BK153" s="499"/>
      <c r="BL153" s="516"/>
      <c r="BM153" s="491"/>
      <c r="BN153" s="499"/>
      <c r="BO153" s="499"/>
      <c r="BP153" s="526"/>
      <c r="BQ153" s="481"/>
      <c r="BR153" s="499"/>
      <c r="BS153" s="499"/>
      <c r="BT153" s="526"/>
      <c r="BU153" s="481"/>
      <c r="BV153" s="499"/>
      <c r="BW153" s="499"/>
      <c r="BX153" s="516"/>
      <c r="BY153" s="481"/>
      <c r="BZ153" s="499"/>
      <c r="CA153" s="499"/>
      <c r="CB153" s="526"/>
      <c r="CC153" s="481"/>
      <c r="CD153" s="499"/>
      <c r="CE153" s="499"/>
      <c r="CF153" s="526"/>
      <c r="CG153" s="481"/>
      <c r="CH153" s="499"/>
      <c r="CI153" s="499"/>
      <c r="CJ153" s="516"/>
      <c r="CK153" s="481"/>
      <c r="CL153" s="499"/>
      <c r="CM153" s="499"/>
      <c r="CN153" s="516"/>
      <c r="CO153" s="481"/>
      <c r="CP153" s="509"/>
      <c r="CQ153" s="509"/>
      <c r="CR153" s="526"/>
      <c r="CS153" s="481"/>
      <c r="CT153" s="499"/>
      <c r="CU153" s="499"/>
      <c r="CV153" s="526"/>
      <c r="CW153" s="481"/>
      <c r="CX153" s="499"/>
      <c r="CY153" s="499"/>
      <c r="CZ153" s="516"/>
      <c r="DA153" s="481"/>
      <c r="DB153" s="499"/>
      <c r="DC153" s="499"/>
      <c r="DD153" s="516"/>
      <c r="DE153" s="481"/>
    </row>
    <row r="154" spans="1:109" ht="12.75">
      <c r="A154" s="504">
        <v>140</v>
      </c>
      <c r="B154" s="522" t="s">
        <v>507</v>
      </c>
      <c r="C154" s="371" t="s">
        <v>491</v>
      </c>
      <c r="D154" s="371" t="s">
        <v>492</v>
      </c>
      <c r="F154" s="548"/>
      <c r="G154" s="506">
        <f t="shared" si="7"/>
        <v>900.2561912894963</v>
      </c>
      <c r="H154" s="507">
        <f t="shared" si="6"/>
        <v>900.2561912894963</v>
      </c>
      <c r="I154" s="508">
        <v>1</v>
      </c>
      <c r="J154" s="524"/>
      <c r="K154" s="499"/>
      <c r="M154" s="491"/>
      <c r="N154" s="524"/>
      <c r="O154" s="499"/>
      <c r="P154" s="516"/>
      <c r="Q154" s="481"/>
      <c r="R154" s="524"/>
      <c r="S154" s="499"/>
      <c r="T154" s="516"/>
      <c r="U154" s="481"/>
      <c r="V154" s="524"/>
      <c r="W154" s="499"/>
      <c r="X154" s="516"/>
      <c r="Y154" s="481"/>
      <c r="Z154" s="509" t="s">
        <v>443</v>
      </c>
      <c r="AA154" s="509" t="s">
        <v>1</v>
      </c>
      <c r="AB154" s="520">
        <v>0.015486111111111112</v>
      </c>
      <c r="AC154" s="481">
        <v>900.2561912894963</v>
      </c>
      <c r="AD154" s="509"/>
      <c r="AE154" s="509"/>
      <c r="AF154" s="501"/>
      <c r="AG154" s="491"/>
      <c r="AH154" s="509"/>
      <c r="AI154" s="509"/>
      <c r="AJ154" s="501"/>
      <c r="AK154" s="481"/>
      <c r="AL154" s="524"/>
      <c r="AM154" s="537"/>
      <c r="AN154" s="526"/>
      <c r="AO154" s="481"/>
      <c r="AP154" s="524"/>
      <c r="AQ154" s="499"/>
      <c r="AR154" s="535"/>
      <c r="AS154" s="481"/>
      <c r="AT154" s="499"/>
      <c r="AU154" s="499"/>
      <c r="AV154" s="526"/>
      <c r="AW154" s="481"/>
      <c r="AX154" s="499"/>
      <c r="AY154" s="499"/>
      <c r="AZ154" s="526"/>
      <c r="BA154" s="481"/>
      <c r="BB154" s="499"/>
      <c r="BC154" s="499"/>
      <c r="BD154" s="516"/>
      <c r="BE154" s="481"/>
      <c r="BF154" s="499"/>
      <c r="BG154" s="499"/>
      <c r="BH154" s="526"/>
      <c r="BI154" s="481"/>
      <c r="BJ154" s="499"/>
      <c r="BK154" s="499"/>
      <c r="BL154" s="516"/>
      <c r="BM154" s="481"/>
      <c r="BN154" s="499"/>
      <c r="BO154" s="499"/>
      <c r="BP154" s="526"/>
      <c r="BQ154" s="481"/>
      <c r="BR154" s="499"/>
      <c r="BS154" s="499"/>
      <c r="BT154" s="526"/>
      <c r="BU154" s="481"/>
      <c r="BV154" s="499"/>
      <c r="BW154" s="499"/>
      <c r="BX154" s="516"/>
      <c r="BY154" s="481"/>
      <c r="BZ154" s="499"/>
      <c r="CA154" s="499"/>
      <c r="CB154" s="526"/>
      <c r="CC154" s="481"/>
      <c r="CD154" s="499"/>
      <c r="CE154" s="499"/>
      <c r="CF154" s="526"/>
      <c r="CG154" s="481"/>
      <c r="CH154" s="499"/>
      <c r="CI154" s="499"/>
      <c r="CJ154" s="526"/>
      <c r="CK154" s="481"/>
      <c r="CL154" s="499"/>
      <c r="CM154" s="499"/>
      <c r="CN154" s="526"/>
      <c r="CO154" s="481"/>
      <c r="CP154" s="499"/>
      <c r="CQ154" s="499"/>
      <c r="CR154" s="516"/>
      <c r="CS154" s="481"/>
      <c r="CT154" s="499"/>
      <c r="CU154" s="499"/>
      <c r="CV154" s="516"/>
      <c r="CW154" s="481"/>
      <c r="CX154" s="509"/>
      <c r="CY154" s="509"/>
      <c r="CZ154" s="520"/>
      <c r="DA154" s="515"/>
      <c r="DB154" s="509"/>
      <c r="DC154" s="509"/>
      <c r="DD154" s="520"/>
      <c r="DE154" s="515"/>
    </row>
    <row r="155" spans="1:109" ht="12.75">
      <c r="A155" s="504">
        <v>141</v>
      </c>
      <c r="B155" s="522" t="s">
        <v>536</v>
      </c>
      <c r="C155" s="371" t="s">
        <v>537</v>
      </c>
      <c r="D155" s="371" t="s">
        <v>538</v>
      </c>
      <c r="F155" s="548"/>
      <c r="G155" s="506">
        <f t="shared" si="7"/>
        <v>874.3646265560166</v>
      </c>
      <c r="H155" s="507">
        <f t="shared" si="6"/>
        <v>874.3646265560166</v>
      </c>
      <c r="I155" s="508">
        <v>3</v>
      </c>
      <c r="J155" s="524"/>
      <c r="K155" s="499"/>
      <c r="M155" s="491"/>
      <c r="N155" s="524"/>
      <c r="O155" s="499"/>
      <c r="P155" s="516"/>
      <c r="Q155" s="481"/>
      <c r="R155" s="524"/>
      <c r="S155" s="499"/>
      <c r="T155" s="516"/>
      <c r="U155" s="481"/>
      <c r="V155" s="524"/>
      <c r="W155" s="499"/>
      <c r="X155" s="516"/>
      <c r="Y155" s="481"/>
      <c r="Z155" s="509" t="s">
        <v>443</v>
      </c>
      <c r="AA155" s="509" t="s">
        <v>1</v>
      </c>
      <c r="AB155" s="520" t="s">
        <v>358</v>
      </c>
      <c r="AC155" s="481">
        <v>0</v>
      </c>
      <c r="AD155" s="509" t="s">
        <v>443</v>
      </c>
      <c r="AE155" s="509" t="s">
        <v>1</v>
      </c>
      <c r="AF155" s="501" t="s">
        <v>358</v>
      </c>
      <c r="AG155" s="491">
        <v>0</v>
      </c>
      <c r="AH155" s="509" t="s">
        <v>443</v>
      </c>
      <c r="AI155" s="509" t="s">
        <v>1</v>
      </c>
      <c r="AJ155" s="520">
        <v>0.05209490740740741</v>
      </c>
      <c r="AK155" s="481">
        <v>874.3646265560166</v>
      </c>
      <c r="AL155" s="524"/>
      <c r="AM155" s="537"/>
      <c r="AN155" s="526"/>
      <c r="AO155" s="481"/>
      <c r="AP155" s="524"/>
      <c r="AQ155" s="498"/>
      <c r="AR155" s="498"/>
      <c r="AS155" s="481"/>
      <c r="AT155" s="499"/>
      <c r="AU155" s="499"/>
      <c r="AV155" s="516"/>
      <c r="AW155" s="481"/>
      <c r="AX155" s="499"/>
      <c r="AY155" s="499"/>
      <c r="AZ155" s="516"/>
      <c r="BA155" s="481"/>
      <c r="BB155" s="499"/>
      <c r="BC155" s="499"/>
      <c r="BD155" s="516"/>
      <c r="BE155" s="481"/>
      <c r="BF155" s="499"/>
      <c r="BG155" s="499"/>
      <c r="BH155" s="526"/>
      <c r="BI155" s="481"/>
      <c r="BJ155" s="499"/>
      <c r="BK155" s="499"/>
      <c r="BL155" s="498"/>
      <c r="BM155" s="491"/>
      <c r="BN155" s="499"/>
      <c r="BO155" s="499"/>
      <c r="BP155" s="526"/>
      <c r="BQ155" s="481"/>
      <c r="BR155" s="499"/>
      <c r="BS155" s="499"/>
      <c r="BT155" s="526"/>
      <c r="BU155" s="481"/>
      <c r="BV155" s="499"/>
      <c r="BW155" s="499"/>
      <c r="BX155" s="516"/>
      <c r="BY155" s="481"/>
      <c r="BZ155" s="499"/>
      <c r="CA155" s="499"/>
      <c r="CB155" s="516"/>
      <c r="CC155" s="481"/>
      <c r="CD155" s="499"/>
      <c r="CE155" s="499"/>
      <c r="CF155" s="526"/>
      <c r="CG155" s="481"/>
      <c r="CH155" s="499"/>
      <c r="CI155" s="499"/>
      <c r="CJ155" s="516"/>
      <c r="CK155" s="481"/>
      <c r="CL155" s="499"/>
      <c r="CM155" s="499"/>
      <c r="CN155" s="516"/>
      <c r="CO155" s="481"/>
      <c r="CP155" s="509"/>
      <c r="CQ155" s="509"/>
      <c r="CR155" s="526"/>
      <c r="CS155" s="481"/>
      <c r="CT155" s="499"/>
      <c r="CU155" s="499"/>
      <c r="CV155" s="526"/>
      <c r="CW155" s="481"/>
      <c r="CX155" s="499"/>
      <c r="CY155" s="499"/>
      <c r="CZ155" s="516"/>
      <c r="DA155" s="481"/>
      <c r="DB155" s="499"/>
      <c r="DC155" s="499"/>
      <c r="DD155" s="526"/>
      <c r="DE155" s="481"/>
    </row>
    <row r="156" spans="1:109" ht="12.75">
      <c r="A156" s="504">
        <v>142</v>
      </c>
      <c r="B156" s="519" t="s">
        <v>837</v>
      </c>
      <c r="C156" s="371" t="s">
        <v>10</v>
      </c>
      <c r="D156" s="527" t="s">
        <v>74</v>
      </c>
      <c r="E156" s="528"/>
      <c r="F156" s="548"/>
      <c r="G156" s="506">
        <f t="shared" si="7"/>
        <v>857.1849668386144</v>
      </c>
      <c r="H156" s="507">
        <f t="shared" si="6"/>
        <v>857.1849668386144</v>
      </c>
      <c r="I156" s="508">
        <v>2</v>
      </c>
      <c r="J156" s="524"/>
      <c r="K156" s="499"/>
      <c r="M156" s="491"/>
      <c r="N156" s="524"/>
      <c r="O156" s="499"/>
      <c r="P156" s="516"/>
      <c r="Q156" s="481"/>
      <c r="R156" s="524"/>
      <c r="S156" s="499"/>
      <c r="T156" s="516"/>
      <c r="U156" s="481"/>
      <c r="V156" s="524"/>
      <c r="W156" s="499"/>
      <c r="X156" s="516"/>
      <c r="Y156" s="481"/>
      <c r="Z156" s="524"/>
      <c r="AA156" s="499"/>
      <c r="AB156" s="516"/>
      <c r="AC156" s="481"/>
      <c r="AD156" s="524"/>
      <c r="AE156" s="524"/>
      <c r="AF156" s="516"/>
      <c r="AG156" s="481"/>
      <c r="AH156" s="524"/>
      <c r="AI156" s="524"/>
      <c r="AJ156" s="516"/>
      <c r="AK156" s="481"/>
      <c r="AL156" s="524"/>
      <c r="AM156" s="537"/>
      <c r="AO156" s="481"/>
      <c r="AP156" s="524"/>
      <c r="AQ156" s="498"/>
      <c r="AR156" s="535"/>
      <c r="AS156" s="481"/>
      <c r="AT156" s="499"/>
      <c r="AU156" s="499"/>
      <c r="AV156" s="526"/>
      <c r="AW156" s="481"/>
      <c r="AX156" s="499"/>
      <c r="AY156" s="499"/>
      <c r="AZ156" s="516"/>
      <c r="BA156" s="481"/>
      <c r="BB156" s="499"/>
      <c r="BC156" s="499"/>
      <c r="BD156" s="516"/>
      <c r="BE156" s="481"/>
      <c r="BF156" s="499"/>
      <c r="BG156" s="499"/>
      <c r="BH156" s="516"/>
      <c r="BI156" s="481"/>
      <c r="BJ156" s="499"/>
      <c r="BK156" s="499"/>
      <c r="BL156" s="516"/>
      <c r="BM156" s="481"/>
      <c r="BN156" s="499"/>
      <c r="BO156" s="499"/>
      <c r="BP156" s="516"/>
      <c r="BQ156" s="481"/>
      <c r="BR156" s="499"/>
      <c r="BS156" s="499"/>
      <c r="BT156" s="516"/>
      <c r="BU156" s="481"/>
      <c r="BV156" s="499"/>
      <c r="BW156" s="499"/>
      <c r="BX156" s="516"/>
      <c r="BY156" s="481"/>
      <c r="BZ156" s="499"/>
      <c r="CA156" s="499"/>
      <c r="CB156" s="516"/>
      <c r="CC156" s="481"/>
      <c r="CD156" s="499"/>
      <c r="CE156" s="499"/>
      <c r="CF156" s="516"/>
      <c r="CG156" s="481"/>
      <c r="CH156" s="499"/>
      <c r="CI156" s="499"/>
      <c r="CJ156" s="516"/>
      <c r="CK156" s="481"/>
      <c r="CL156" s="499"/>
      <c r="CM156" s="499"/>
      <c r="CN156" s="516"/>
      <c r="CO156" s="481"/>
      <c r="CP156" s="499" t="s">
        <v>855</v>
      </c>
      <c r="CQ156" s="499" t="s">
        <v>2</v>
      </c>
      <c r="CR156" s="513">
        <v>0.050625</v>
      </c>
      <c r="CS156" s="481">
        <v>501.6949152542372</v>
      </c>
      <c r="CT156" s="499" t="s">
        <v>855</v>
      </c>
      <c r="CU156" s="499" t="s">
        <v>2</v>
      </c>
      <c r="CV156" s="513">
        <v>0.02443287037037037</v>
      </c>
      <c r="CW156" s="481">
        <v>355.4900515843773</v>
      </c>
      <c r="CX156" s="499"/>
      <c r="CY156" s="499"/>
      <c r="CZ156" s="526"/>
      <c r="DA156" s="481"/>
      <c r="DB156" s="499"/>
      <c r="DC156" s="499"/>
      <c r="DD156" s="526"/>
      <c r="DE156" s="481"/>
    </row>
    <row r="157" spans="1:111" ht="12.75">
      <c r="A157" s="504">
        <v>143</v>
      </c>
      <c r="B157" s="505" t="s">
        <v>366</v>
      </c>
      <c r="C157" s="371" t="s">
        <v>10</v>
      </c>
      <c r="D157" s="371" t="s">
        <v>376</v>
      </c>
      <c r="F157" s="548">
        <v>1981</v>
      </c>
      <c r="G157" s="506">
        <f t="shared" si="7"/>
        <v>842.8884922070691</v>
      </c>
      <c r="H157" s="507">
        <f t="shared" si="6"/>
        <v>842.8884922070691</v>
      </c>
      <c r="I157" s="508">
        <v>5</v>
      </c>
      <c r="J157" s="524"/>
      <c r="K157" s="499"/>
      <c r="L157" s="526"/>
      <c r="M157" s="481"/>
      <c r="N157" s="524"/>
      <c r="O157" s="499"/>
      <c r="P157" s="516"/>
      <c r="Q157" s="481"/>
      <c r="R157" s="524"/>
      <c r="S157" s="499"/>
      <c r="T157" s="516"/>
      <c r="U157" s="481"/>
      <c r="V157" s="524"/>
      <c r="W157" s="499"/>
      <c r="X157" s="516"/>
      <c r="Y157" s="481"/>
      <c r="Z157" s="513" t="s">
        <v>569</v>
      </c>
      <c r="AA157" s="509" t="s">
        <v>158</v>
      </c>
      <c r="AB157" s="513">
        <v>0.02431712962962963</v>
      </c>
      <c r="AC157" s="481">
        <v>10</v>
      </c>
      <c r="AD157" s="513" t="s">
        <v>569</v>
      </c>
      <c r="AE157" s="509" t="s">
        <v>158</v>
      </c>
      <c r="AF157" s="513">
        <v>0.08416666666666667</v>
      </c>
      <c r="AG157" s="481">
        <v>431.5879828326181</v>
      </c>
      <c r="AH157" s="513" t="s">
        <v>569</v>
      </c>
      <c r="AI157" s="509" t="s">
        <v>158</v>
      </c>
      <c r="AJ157" s="513">
        <v>0.07329861111111112</v>
      </c>
      <c r="AK157" s="481">
        <v>38.617710583153084</v>
      </c>
      <c r="AL157" s="524"/>
      <c r="AM157" s="524"/>
      <c r="AN157" s="516"/>
      <c r="AO157" s="481"/>
      <c r="AP157" s="524"/>
      <c r="AQ157" s="524"/>
      <c r="AR157" s="535"/>
      <c r="AS157" s="481"/>
      <c r="AT157" s="499"/>
      <c r="AU157" s="499"/>
      <c r="AV157" s="526"/>
      <c r="AW157" s="481"/>
      <c r="AX157" s="499"/>
      <c r="AY157" s="499"/>
      <c r="AZ157" s="526"/>
      <c r="BA157" s="481"/>
      <c r="BB157" s="499"/>
      <c r="BC157" s="499"/>
      <c r="BD157" s="516"/>
      <c r="BE157" s="481"/>
      <c r="BF157" s="499"/>
      <c r="BG157" s="499"/>
      <c r="BH157" s="516"/>
      <c r="BI157" s="481"/>
      <c r="BJ157" s="499"/>
      <c r="BK157" s="499"/>
      <c r="BL157" s="516"/>
      <c r="BM157" s="491"/>
      <c r="BN157" s="499"/>
      <c r="BO157" s="499"/>
      <c r="BP157" s="516"/>
      <c r="BQ157" s="481"/>
      <c r="BR157" s="499"/>
      <c r="BS157" s="499"/>
      <c r="BT157" s="516"/>
      <c r="BU157" s="481"/>
      <c r="BV157" s="499"/>
      <c r="BW157" s="499"/>
      <c r="BX157" s="516"/>
      <c r="BY157" s="481"/>
      <c r="BZ157" s="499"/>
      <c r="CA157" s="499"/>
      <c r="CB157" s="516"/>
      <c r="CC157" s="481"/>
      <c r="CD157" s="499"/>
      <c r="CE157" s="499"/>
      <c r="CF157" s="526"/>
      <c r="CG157" s="481"/>
      <c r="CH157" s="499"/>
      <c r="CI157" s="499"/>
      <c r="CJ157" s="516"/>
      <c r="CK157" s="481"/>
      <c r="CL157" s="499"/>
      <c r="CM157" s="499"/>
      <c r="CN157" s="516"/>
      <c r="CO157" s="481"/>
      <c r="CP157" s="499"/>
      <c r="CQ157" s="499"/>
      <c r="CR157" s="526"/>
      <c r="CS157" s="481"/>
      <c r="CT157" s="499"/>
      <c r="CU157" s="499"/>
      <c r="CV157" s="526"/>
      <c r="CW157" s="481"/>
      <c r="CX157" s="499" t="s">
        <v>443</v>
      </c>
      <c r="CY157" s="499" t="s">
        <v>1</v>
      </c>
      <c r="CZ157" s="526">
        <v>0.10282407407407407</v>
      </c>
      <c r="DA157" s="481">
        <v>20.49910873440286</v>
      </c>
      <c r="DB157" s="499" t="s">
        <v>443</v>
      </c>
      <c r="DC157" s="499" t="s">
        <v>1</v>
      </c>
      <c r="DD157" s="526">
        <v>0.07082175925925926</v>
      </c>
      <c r="DE157" s="481">
        <v>342.1836900568951</v>
      </c>
      <c r="DF157" s="494"/>
      <c r="DG157" s="494"/>
    </row>
    <row r="158" spans="1:111" ht="12.75">
      <c r="A158" s="504">
        <v>144</v>
      </c>
      <c r="B158" s="519" t="s">
        <v>835</v>
      </c>
      <c r="C158" s="527" t="s">
        <v>10</v>
      </c>
      <c r="D158" s="527" t="s">
        <v>836</v>
      </c>
      <c r="E158" s="528"/>
      <c r="G158" s="506">
        <f t="shared" si="7"/>
        <v>820.7157604955264</v>
      </c>
      <c r="H158" s="507">
        <f t="shared" si="6"/>
        <v>820.7157604955264</v>
      </c>
      <c r="I158" s="508">
        <v>1</v>
      </c>
      <c r="J158" s="524"/>
      <c r="K158" s="499"/>
      <c r="M158" s="491"/>
      <c r="N158" s="524"/>
      <c r="O158" s="499"/>
      <c r="P158" s="516"/>
      <c r="Q158" s="481"/>
      <c r="R158" s="524"/>
      <c r="S158" s="499"/>
      <c r="T158" s="516"/>
      <c r="U158" s="481"/>
      <c r="V158" s="524"/>
      <c r="W158" s="499"/>
      <c r="X158" s="516"/>
      <c r="Y158" s="481"/>
      <c r="Z158" s="524"/>
      <c r="AA158" s="499"/>
      <c r="AB158" s="516"/>
      <c r="AC158" s="481"/>
      <c r="AD158" s="524"/>
      <c r="AE158" s="524"/>
      <c r="AF158" s="516"/>
      <c r="AG158" s="481"/>
      <c r="AH158" s="524"/>
      <c r="AI158" s="524"/>
      <c r="AJ158" s="516"/>
      <c r="AK158" s="481"/>
      <c r="AL158" s="524"/>
      <c r="AM158" s="537"/>
      <c r="AO158" s="481"/>
      <c r="AP158" s="524"/>
      <c r="AQ158" s="498"/>
      <c r="AR158" s="535"/>
      <c r="AS158" s="481"/>
      <c r="AT158" s="499"/>
      <c r="AU158" s="499"/>
      <c r="AV158" s="526"/>
      <c r="AW158" s="481"/>
      <c r="AX158" s="499"/>
      <c r="AY158" s="499"/>
      <c r="AZ158" s="516"/>
      <c r="BA158" s="481"/>
      <c r="BB158" s="499"/>
      <c r="BC158" s="499"/>
      <c r="BD158" s="516"/>
      <c r="BE158" s="481"/>
      <c r="BF158" s="499"/>
      <c r="BG158" s="499"/>
      <c r="BH158" s="516"/>
      <c r="BI158" s="481"/>
      <c r="BJ158" s="499"/>
      <c r="BK158" s="499"/>
      <c r="BL158" s="516"/>
      <c r="BM158" s="481"/>
      <c r="BN158" s="499"/>
      <c r="BO158" s="499"/>
      <c r="BP158" s="516"/>
      <c r="BQ158" s="481"/>
      <c r="BR158" s="499"/>
      <c r="BS158" s="499"/>
      <c r="BT158" s="516"/>
      <c r="BU158" s="481"/>
      <c r="BV158" s="499"/>
      <c r="BW158" s="499"/>
      <c r="BX158" s="516"/>
      <c r="BY158" s="481"/>
      <c r="BZ158" s="499"/>
      <c r="CA158" s="499"/>
      <c r="CB158" s="516"/>
      <c r="CC158" s="481"/>
      <c r="CD158" s="499"/>
      <c r="CE158" s="499"/>
      <c r="CF158" s="516"/>
      <c r="CG158" s="481"/>
      <c r="CH158" s="499"/>
      <c r="CI158" s="499"/>
      <c r="CJ158" s="516"/>
      <c r="CK158" s="481"/>
      <c r="CL158" s="499"/>
      <c r="CM158" s="499"/>
      <c r="CN158" s="516"/>
      <c r="CO158" s="481"/>
      <c r="CP158" s="499" t="s">
        <v>839</v>
      </c>
      <c r="CQ158" s="499" t="s">
        <v>1</v>
      </c>
      <c r="CR158" s="513">
        <v>0.03966435185185185</v>
      </c>
      <c r="CS158" s="481">
        <v>820.7157604955264</v>
      </c>
      <c r="CT158" s="499"/>
      <c r="CU158" s="499"/>
      <c r="CV158" s="509"/>
      <c r="CW158" s="481"/>
      <c r="CX158" s="499"/>
      <c r="CY158" s="499"/>
      <c r="CZ158" s="516"/>
      <c r="DA158" s="481"/>
      <c r="DB158" s="499"/>
      <c r="DC158" s="499"/>
      <c r="DD158" s="516"/>
      <c r="DE158" s="481"/>
      <c r="DF158" s="494"/>
      <c r="DG158" s="494"/>
    </row>
    <row r="159" spans="1:109" ht="12.75">
      <c r="A159" s="504">
        <v>145</v>
      </c>
      <c r="B159" s="522" t="s">
        <v>512</v>
      </c>
      <c r="C159" s="371" t="s">
        <v>470</v>
      </c>
      <c r="D159" s="371" t="s">
        <v>471</v>
      </c>
      <c r="G159" s="506">
        <f t="shared" si="7"/>
        <v>804.3125533731857</v>
      </c>
      <c r="H159" s="507">
        <f t="shared" si="6"/>
        <v>804.3125533731857</v>
      </c>
      <c r="I159" s="508">
        <v>3</v>
      </c>
      <c r="J159" s="524"/>
      <c r="K159" s="499"/>
      <c r="M159" s="491"/>
      <c r="N159" s="524"/>
      <c r="O159" s="499"/>
      <c r="P159" s="516"/>
      <c r="Q159" s="481"/>
      <c r="R159" s="524"/>
      <c r="S159" s="499"/>
      <c r="T159" s="516"/>
      <c r="U159" s="481"/>
      <c r="V159" s="524"/>
      <c r="W159" s="499"/>
      <c r="X159" s="516"/>
      <c r="Y159" s="481"/>
      <c r="Z159" s="509" t="s">
        <v>443</v>
      </c>
      <c r="AA159" s="509" t="s">
        <v>1</v>
      </c>
      <c r="AB159" s="520">
        <v>0.016724537037037034</v>
      </c>
      <c r="AC159" s="481">
        <v>804.3125533731857</v>
      </c>
      <c r="AD159" s="509" t="s">
        <v>443</v>
      </c>
      <c r="AE159" s="509" t="s">
        <v>1</v>
      </c>
      <c r="AF159" s="501" t="s">
        <v>358</v>
      </c>
      <c r="AG159" s="491">
        <v>0</v>
      </c>
      <c r="AH159" s="509" t="s">
        <v>443</v>
      </c>
      <c r="AI159" s="509" t="s">
        <v>1</v>
      </c>
      <c r="AJ159" s="501" t="s">
        <v>358</v>
      </c>
      <c r="AK159" s="481">
        <v>0</v>
      </c>
      <c r="AL159" s="524"/>
      <c r="AM159" s="537"/>
      <c r="AN159" s="516"/>
      <c r="AO159" s="481"/>
      <c r="AP159" s="524"/>
      <c r="AQ159" s="498"/>
      <c r="AR159" s="535"/>
      <c r="AS159" s="481"/>
      <c r="AT159" s="499"/>
      <c r="AU159" s="499"/>
      <c r="AV159" s="526"/>
      <c r="AW159" s="481"/>
      <c r="AX159" s="499"/>
      <c r="AY159" s="499"/>
      <c r="AZ159" s="526"/>
      <c r="BA159" s="481"/>
      <c r="BB159" s="499"/>
      <c r="BC159" s="499"/>
      <c r="BD159" s="516"/>
      <c r="BE159" s="481"/>
      <c r="BF159" s="499"/>
      <c r="BG159" s="499"/>
      <c r="BH159" s="516"/>
      <c r="BI159" s="481"/>
      <c r="BJ159" s="499"/>
      <c r="BK159" s="499"/>
      <c r="BL159" s="498"/>
      <c r="BM159" s="481"/>
      <c r="BN159" s="499"/>
      <c r="BO159" s="499"/>
      <c r="BP159" s="526"/>
      <c r="BQ159" s="481"/>
      <c r="BR159" s="499"/>
      <c r="BS159" s="499"/>
      <c r="BT159" s="526"/>
      <c r="BU159" s="481"/>
      <c r="BV159" s="499"/>
      <c r="BW159" s="499"/>
      <c r="BX159" s="516"/>
      <c r="BY159" s="481"/>
      <c r="BZ159" s="499"/>
      <c r="CA159" s="499"/>
      <c r="CB159" s="516"/>
      <c r="CC159" s="481"/>
      <c r="CD159" s="499"/>
      <c r="CE159" s="499"/>
      <c r="CF159" s="526"/>
      <c r="CG159" s="481"/>
      <c r="CH159" s="499"/>
      <c r="CI159" s="499"/>
      <c r="CJ159" s="526"/>
      <c r="CK159" s="481"/>
      <c r="CL159" s="499"/>
      <c r="CM159" s="499"/>
      <c r="CN159" s="526"/>
      <c r="CO159" s="481"/>
      <c r="CP159" s="499"/>
      <c r="CQ159" s="499"/>
      <c r="CR159" s="526"/>
      <c r="CS159" s="481"/>
      <c r="CT159" s="499"/>
      <c r="CU159" s="499"/>
      <c r="CV159" s="526"/>
      <c r="CW159" s="481"/>
      <c r="CX159" s="509"/>
      <c r="CY159" s="509"/>
      <c r="CZ159" s="513"/>
      <c r="DA159" s="515"/>
      <c r="DB159" s="499"/>
      <c r="DC159" s="499"/>
      <c r="DD159" s="516"/>
      <c r="DE159" s="481"/>
    </row>
    <row r="160" spans="1:109" ht="12.75">
      <c r="A160" s="504">
        <v>146</v>
      </c>
      <c r="B160" s="522" t="s">
        <v>543</v>
      </c>
      <c r="C160" s="371" t="s">
        <v>10</v>
      </c>
      <c r="D160" s="371" t="s">
        <v>253</v>
      </c>
      <c r="F160" s="548"/>
      <c r="G160" s="506">
        <f t="shared" si="7"/>
        <v>793.8245614035088</v>
      </c>
      <c r="H160" s="507">
        <f t="shared" si="6"/>
        <v>793.8245614035088</v>
      </c>
      <c r="I160" s="508">
        <v>1</v>
      </c>
      <c r="J160" s="509" t="s">
        <v>550</v>
      </c>
      <c r="K160" s="509" t="s">
        <v>2</v>
      </c>
      <c r="L160" s="513">
        <v>0.033240740740740744</v>
      </c>
      <c r="M160" s="481">
        <v>793.8245614035088</v>
      </c>
      <c r="N160" s="509"/>
      <c r="O160" s="509"/>
      <c r="P160" s="509"/>
      <c r="Q160" s="481"/>
      <c r="R160" s="524"/>
      <c r="S160" s="499"/>
      <c r="U160" s="481"/>
      <c r="V160" s="524"/>
      <c r="W160" s="499"/>
      <c r="Y160" s="491"/>
      <c r="Z160" s="524"/>
      <c r="AA160" s="499"/>
      <c r="AC160" s="481"/>
      <c r="AD160" s="524"/>
      <c r="AE160" s="524"/>
      <c r="AF160" s="516"/>
      <c r="AG160" s="491"/>
      <c r="AH160" s="524"/>
      <c r="AI160" s="524"/>
      <c r="AJ160" s="516"/>
      <c r="AK160" s="481"/>
      <c r="AL160" s="524"/>
      <c r="AM160" s="537"/>
      <c r="AN160" s="526"/>
      <c r="AO160" s="481"/>
      <c r="AP160" s="524"/>
      <c r="AQ160" s="499"/>
      <c r="AR160" s="526"/>
      <c r="AS160" s="481"/>
      <c r="AT160" s="524"/>
      <c r="AU160" s="524"/>
      <c r="AV160" s="516"/>
      <c r="AW160" s="481"/>
      <c r="AX160" s="524"/>
      <c r="AY160" s="524"/>
      <c r="AZ160" s="526"/>
      <c r="BA160" s="481"/>
      <c r="BB160" s="524"/>
      <c r="BC160" s="524"/>
      <c r="BD160" s="516"/>
      <c r="BE160" s="481"/>
      <c r="BF160" s="499"/>
      <c r="BG160" s="499"/>
      <c r="BH160" s="526"/>
      <c r="BI160" s="481"/>
      <c r="BJ160" s="499"/>
      <c r="BK160" s="499"/>
      <c r="BL160" s="516"/>
      <c r="BM160" s="491"/>
      <c r="BN160" s="499"/>
      <c r="BO160" s="499"/>
      <c r="BP160" s="526"/>
      <c r="BQ160" s="481"/>
      <c r="BR160" s="499"/>
      <c r="BS160" s="499"/>
      <c r="BT160" s="526"/>
      <c r="BU160" s="481"/>
      <c r="BV160" s="499"/>
      <c r="BW160" s="499"/>
      <c r="BX160" s="516"/>
      <c r="BY160" s="481"/>
      <c r="BZ160" s="499"/>
      <c r="CA160" s="499"/>
      <c r="CB160" s="526"/>
      <c r="CC160" s="481"/>
      <c r="CD160" s="499"/>
      <c r="CE160" s="499"/>
      <c r="CF160" s="526"/>
      <c r="CG160" s="481"/>
      <c r="CH160" s="499"/>
      <c r="CI160" s="499"/>
      <c r="CJ160" s="526"/>
      <c r="CK160" s="481"/>
      <c r="CL160" s="499"/>
      <c r="CM160" s="499"/>
      <c r="CN160" s="526"/>
      <c r="CO160" s="481"/>
      <c r="CP160" s="499"/>
      <c r="CQ160" s="499"/>
      <c r="CR160" s="516"/>
      <c r="CS160" s="481"/>
      <c r="CT160" s="499"/>
      <c r="CU160" s="499"/>
      <c r="CV160" s="516"/>
      <c r="CW160" s="481"/>
      <c r="CX160" s="499"/>
      <c r="CY160" s="499"/>
      <c r="CZ160" s="526"/>
      <c r="DA160" s="481"/>
      <c r="DB160" s="509"/>
      <c r="DC160" s="509"/>
      <c r="DD160" s="520"/>
      <c r="DE160" s="515"/>
    </row>
    <row r="161" spans="1:109" ht="12.75">
      <c r="A161" s="504">
        <v>147</v>
      </c>
      <c r="B161" s="505" t="s">
        <v>395</v>
      </c>
      <c r="C161" s="371" t="s">
        <v>10</v>
      </c>
      <c r="F161" s="548"/>
      <c r="G161" s="506">
        <f t="shared" si="7"/>
        <v>777.8379842861012</v>
      </c>
      <c r="H161" s="507">
        <f t="shared" si="6"/>
        <v>777.8379842861012</v>
      </c>
      <c r="I161" s="508">
        <v>1</v>
      </c>
      <c r="J161" s="524"/>
      <c r="K161" s="499"/>
      <c r="M161" s="491"/>
      <c r="N161" s="524"/>
      <c r="O161" s="499"/>
      <c r="Q161" s="491"/>
      <c r="R161" s="524"/>
      <c r="S161" s="499"/>
      <c r="U161" s="491"/>
      <c r="V161" s="524"/>
      <c r="W161" s="499"/>
      <c r="Y161" s="491"/>
      <c r="Z161" s="524"/>
      <c r="AA161" s="499"/>
      <c r="AC161" s="491"/>
      <c r="AD161" s="524"/>
      <c r="AE161" s="524"/>
      <c r="AG161" s="491"/>
      <c r="AH161" s="524"/>
      <c r="AI161" s="524"/>
      <c r="AK161" s="491"/>
      <c r="AL161" s="524"/>
      <c r="AM161" s="524"/>
      <c r="AO161" s="491"/>
      <c r="AP161" s="541"/>
      <c r="AQ161" s="509"/>
      <c r="AS161" s="502"/>
      <c r="AT161" s="509"/>
      <c r="AU161" s="509"/>
      <c r="AW161" s="502"/>
      <c r="AX161" s="509"/>
      <c r="AY161" s="509"/>
      <c r="BA161" s="502"/>
      <c r="BB161" s="499"/>
      <c r="BC161" s="499"/>
      <c r="BD161" s="498"/>
      <c r="BE161" s="491"/>
      <c r="BF161" s="499"/>
      <c r="BG161" s="499"/>
      <c r="BH161" s="498"/>
      <c r="BI161" s="491"/>
      <c r="BJ161" s="509"/>
      <c r="BK161" s="509"/>
      <c r="BL161" s="501"/>
      <c r="BM161" s="502"/>
      <c r="BN161" s="509"/>
      <c r="BO161" s="509"/>
      <c r="BP161" s="501"/>
      <c r="BQ161" s="502"/>
      <c r="BR161" s="509"/>
      <c r="BS161" s="509"/>
      <c r="BT161" s="501"/>
      <c r="BU161" s="502"/>
      <c r="BV161" s="509"/>
      <c r="BW161" s="509"/>
      <c r="BX161" s="520"/>
      <c r="BY161" s="515"/>
      <c r="BZ161" s="509"/>
      <c r="CA161" s="509"/>
      <c r="CB161" s="520"/>
      <c r="CC161" s="515"/>
      <c r="CD161" s="509"/>
      <c r="CE161" s="509"/>
      <c r="CF161" s="520"/>
      <c r="CG161" s="515"/>
      <c r="CH161" s="509"/>
      <c r="CI161" s="509"/>
      <c r="CJ161" s="520"/>
      <c r="CK161" s="515"/>
      <c r="CL161" s="509"/>
      <c r="CM161" s="509"/>
      <c r="CN161" s="520"/>
      <c r="CO161" s="515"/>
      <c r="CP161" s="509"/>
      <c r="CQ161" s="509"/>
      <c r="CR161" s="520"/>
      <c r="CS161" s="515"/>
      <c r="CT161" s="509"/>
      <c r="CU161" s="509"/>
      <c r="CV161" s="520"/>
      <c r="CW161" s="515"/>
      <c r="CX161" s="509"/>
      <c r="CY161" s="509"/>
      <c r="CZ161" s="520"/>
      <c r="DA161" s="515"/>
      <c r="DB161" s="509" t="s">
        <v>443</v>
      </c>
      <c r="DC161" s="509" t="s">
        <v>1</v>
      </c>
      <c r="DD161" s="520">
        <v>0.05221064814814815</v>
      </c>
      <c r="DE161" s="481">
        <v>777.8379842861012</v>
      </c>
    </row>
    <row r="162" spans="1:109" ht="12.75">
      <c r="A162" s="504">
        <v>148</v>
      </c>
      <c r="B162" s="522" t="s">
        <v>822</v>
      </c>
      <c r="C162" s="371" t="s">
        <v>10</v>
      </c>
      <c r="D162" s="527" t="s">
        <v>15</v>
      </c>
      <c r="E162" s="528" t="s">
        <v>375</v>
      </c>
      <c r="F162" s="548">
        <v>1954</v>
      </c>
      <c r="G162" s="506">
        <f t="shared" si="7"/>
        <v>770.0000000000001</v>
      </c>
      <c r="H162" s="507">
        <f t="shared" si="6"/>
        <v>770.0000000000001</v>
      </c>
      <c r="I162" s="508">
        <v>1</v>
      </c>
      <c r="J162" s="524"/>
      <c r="K162" s="499"/>
      <c r="M162" s="491"/>
      <c r="N162" s="524"/>
      <c r="O162" s="499"/>
      <c r="P162" s="516"/>
      <c r="Q162" s="491"/>
      <c r="R162" s="524"/>
      <c r="S162" s="499"/>
      <c r="U162" s="491"/>
      <c r="V162" s="524"/>
      <c r="W162" s="499"/>
      <c r="Y162" s="491"/>
      <c r="Z162" s="524"/>
      <c r="AA162" s="499"/>
      <c r="AC162" s="491"/>
      <c r="AD162" s="524"/>
      <c r="AE162" s="524"/>
      <c r="AG162" s="491"/>
      <c r="AH162" s="524"/>
      <c r="AI162" s="524"/>
      <c r="AJ162" s="516"/>
      <c r="AK162" s="491"/>
      <c r="AL162" s="524"/>
      <c r="AM162" s="524"/>
      <c r="AO162" s="491"/>
      <c r="AP162" s="541"/>
      <c r="AQ162" s="509"/>
      <c r="AS162" s="502"/>
      <c r="AT162" s="509"/>
      <c r="AU162" s="509"/>
      <c r="AW162" s="502"/>
      <c r="AX162" s="499"/>
      <c r="AY162" s="499"/>
      <c r="AZ162" s="516"/>
      <c r="BA162" s="502"/>
      <c r="BB162" s="499"/>
      <c r="BC162" s="499"/>
      <c r="BD162" s="498"/>
      <c r="BE162" s="491"/>
      <c r="BF162" s="499"/>
      <c r="BG162" s="499"/>
      <c r="BH162" s="498"/>
      <c r="BI162" s="491"/>
      <c r="BJ162" s="499"/>
      <c r="BK162" s="499"/>
      <c r="BL162" s="516"/>
      <c r="BM162" s="502"/>
      <c r="BN162" s="509"/>
      <c r="BO162" s="509"/>
      <c r="BP162" s="501"/>
      <c r="BQ162" s="502"/>
      <c r="BR162" s="509"/>
      <c r="BS162" s="509"/>
      <c r="BT162" s="501"/>
      <c r="BU162" s="502"/>
      <c r="BV162" s="509"/>
      <c r="BW162" s="509"/>
      <c r="BX162" s="520"/>
      <c r="BY162" s="515"/>
      <c r="BZ162" s="499"/>
      <c r="CA162" s="499"/>
      <c r="CB162" s="516"/>
      <c r="CC162" s="481"/>
      <c r="CD162" s="509" t="s">
        <v>652</v>
      </c>
      <c r="CE162" s="509" t="s">
        <v>158</v>
      </c>
      <c r="CF162" s="512">
        <v>0.03711805555555556</v>
      </c>
      <c r="CG162" s="481">
        <v>770.0000000000001</v>
      </c>
      <c r="CH162" s="509"/>
      <c r="CI162" s="509"/>
      <c r="CJ162" s="520"/>
      <c r="CK162" s="515"/>
      <c r="CL162" s="509"/>
      <c r="CM162" s="509"/>
      <c r="CN162" s="520"/>
      <c r="CO162" s="515"/>
      <c r="CP162" s="509"/>
      <c r="CQ162" s="509"/>
      <c r="CR162" s="516"/>
      <c r="CS162" s="481"/>
      <c r="CT162" s="499"/>
      <c r="CU162" s="499"/>
      <c r="CV162" s="516"/>
      <c r="CW162" s="481"/>
      <c r="CX162" s="509"/>
      <c r="CY162" s="509"/>
      <c r="CZ162" s="520"/>
      <c r="DA162" s="515"/>
      <c r="DB162" s="499"/>
      <c r="DC162" s="499"/>
      <c r="DD162" s="516"/>
      <c r="DE162" s="481"/>
    </row>
    <row r="163" spans="1:109" ht="12.75">
      <c r="A163" s="504">
        <v>149</v>
      </c>
      <c r="B163" s="522" t="s">
        <v>814</v>
      </c>
      <c r="C163" s="371" t="s">
        <v>10</v>
      </c>
      <c r="D163" s="527"/>
      <c r="E163" s="528" t="s">
        <v>360</v>
      </c>
      <c r="G163" s="506">
        <f t="shared" si="7"/>
        <v>759.5578673602081</v>
      </c>
      <c r="H163" s="507">
        <f t="shared" si="6"/>
        <v>759.5578673602081</v>
      </c>
      <c r="I163" s="508">
        <v>1</v>
      </c>
      <c r="J163" s="524"/>
      <c r="K163" s="499"/>
      <c r="M163" s="491"/>
      <c r="N163" s="524"/>
      <c r="O163" s="499"/>
      <c r="P163" s="516"/>
      <c r="Q163" s="491"/>
      <c r="R163" s="524"/>
      <c r="S163" s="499"/>
      <c r="U163" s="491"/>
      <c r="V163" s="524"/>
      <c r="W163" s="499"/>
      <c r="Y163" s="491"/>
      <c r="Z163" s="524"/>
      <c r="AA163" s="499"/>
      <c r="AC163" s="491"/>
      <c r="AD163" s="524"/>
      <c r="AE163" s="524"/>
      <c r="AG163" s="491"/>
      <c r="AH163" s="524"/>
      <c r="AI163" s="524"/>
      <c r="AJ163" s="516"/>
      <c r="AK163" s="491"/>
      <c r="AL163" s="524"/>
      <c r="AM163" s="524"/>
      <c r="AO163" s="491"/>
      <c r="AP163" s="541"/>
      <c r="AQ163" s="509"/>
      <c r="AS163" s="502"/>
      <c r="AT163" s="509"/>
      <c r="AU163" s="509"/>
      <c r="AW163" s="502"/>
      <c r="AX163" s="499"/>
      <c r="AY163" s="499"/>
      <c r="AZ163" s="516"/>
      <c r="BA163" s="502"/>
      <c r="BB163" s="499"/>
      <c r="BC163" s="499"/>
      <c r="BD163" s="498"/>
      <c r="BE163" s="491"/>
      <c r="BF163" s="499"/>
      <c r="BG163" s="499"/>
      <c r="BH163" s="498"/>
      <c r="BI163" s="491"/>
      <c r="BJ163" s="499"/>
      <c r="BK163" s="499"/>
      <c r="BL163" s="516"/>
      <c r="BM163" s="502"/>
      <c r="BN163" s="509"/>
      <c r="BO163" s="509"/>
      <c r="BP163" s="501"/>
      <c r="BQ163" s="502"/>
      <c r="BR163" s="509"/>
      <c r="BS163" s="509"/>
      <c r="BT163" s="501"/>
      <c r="BU163" s="502"/>
      <c r="BV163" s="509"/>
      <c r="BW163" s="509"/>
      <c r="BX163" s="520"/>
      <c r="BY163" s="515"/>
      <c r="BZ163" s="499"/>
      <c r="CA163" s="499"/>
      <c r="CB163" s="516"/>
      <c r="CC163" s="481"/>
      <c r="CD163" s="509" t="s">
        <v>372</v>
      </c>
      <c r="CE163" s="509" t="s">
        <v>2</v>
      </c>
      <c r="CF163" s="512">
        <v>0.04047453703703704</v>
      </c>
      <c r="CG163" s="481">
        <v>759.5578673602081</v>
      </c>
      <c r="CH163" s="499"/>
      <c r="CI163" s="499"/>
      <c r="CJ163" s="516"/>
      <c r="CK163" s="481"/>
      <c r="CL163" s="499"/>
      <c r="CM163" s="499"/>
      <c r="CN163" s="516"/>
      <c r="CO163" s="481"/>
      <c r="CP163" s="499"/>
      <c r="CQ163" s="499"/>
      <c r="CR163" s="526"/>
      <c r="CS163" s="481"/>
      <c r="CT163" s="499"/>
      <c r="CU163" s="499"/>
      <c r="CV163" s="526"/>
      <c r="CW163" s="481"/>
      <c r="CX163" s="509"/>
      <c r="CY163" s="509"/>
      <c r="CZ163" s="520"/>
      <c r="DA163" s="515"/>
      <c r="DB163" s="499"/>
      <c r="DC163" s="499"/>
      <c r="DD163" s="526"/>
      <c r="DE163" s="481"/>
    </row>
    <row r="164" spans="1:109" ht="12.75">
      <c r="A164" s="504">
        <v>150</v>
      </c>
      <c r="B164" s="522" t="s">
        <v>557</v>
      </c>
      <c r="C164" s="371" t="s">
        <v>187</v>
      </c>
      <c r="F164" s="548"/>
      <c r="G164" s="506">
        <f t="shared" si="7"/>
        <v>741.5274463007162</v>
      </c>
      <c r="H164" s="507">
        <f t="shared" si="6"/>
        <v>741.5274463007162</v>
      </c>
      <c r="I164" s="508">
        <v>1</v>
      </c>
      <c r="J164" s="524"/>
      <c r="K164" s="499"/>
      <c r="M164" s="481"/>
      <c r="N164" s="524"/>
      <c r="O164" s="499"/>
      <c r="Q164" s="491"/>
      <c r="R164" s="509"/>
      <c r="S164" s="509"/>
      <c r="T164" s="509"/>
      <c r="U164" s="481"/>
      <c r="V164" s="509" t="s">
        <v>292</v>
      </c>
      <c r="W164" s="509" t="s">
        <v>1</v>
      </c>
      <c r="X164" s="513">
        <v>0.061030092592592594</v>
      </c>
      <c r="Y164" s="481">
        <v>741.5274463007162</v>
      </c>
      <c r="Z164" s="524"/>
      <c r="AA164" s="499"/>
      <c r="AC164" s="481"/>
      <c r="AD164" s="524"/>
      <c r="AE164" s="524"/>
      <c r="AG164" s="491"/>
      <c r="AH164" s="524"/>
      <c r="AI164" s="524"/>
      <c r="AK164" s="481"/>
      <c r="AL164" s="524"/>
      <c r="AM164" s="537"/>
      <c r="AN164" s="526"/>
      <c r="AO164" s="481"/>
      <c r="AP164" s="524"/>
      <c r="AQ164" s="498"/>
      <c r="AR164" s="516"/>
      <c r="AS164" s="481"/>
      <c r="AT164" s="499"/>
      <c r="AU164" s="499"/>
      <c r="AV164" s="526"/>
      <c r="AW164" s="481"/>
      <c r="AX164" s="499"/>
      <c r="AY164" s="499"/>
      <c r="AZ164" s="526"/>
      <c r="BA164" s="481"/>
      <c r="BB164" s="499"/>
      <c r="BC164" s="499"/>
      <c r="BD164" s="516"/>
      <c r="BE164" s="481"/>
      <c r="BF164" s="499"/>
      <c r="BG164" s="499"/>
      <c r="BH164" s="526"/>
      <c r="BI164" s="481"/>
      <c r="BJ164" s="509"/>
      <c r="BK164" s="509"/>
      <c r="BL164" s="520"/>
      <c r="BM164" s="502"/>
      <c r="BN164" s="509"/>
      <c r="BO164" s="509"/>
      <c r="BP164" s="513"/>
      <c r="BQ164" s="515"/>
      <c r="BR164" s="509"/>
      <c r="BS164" s="509"/>
      <c r="BT164" s="513"/>
      <c r="BU164" s="515"/>
      <c r="BV164" s="499"/>
      <c r="BW164" s="499"/>
      <c r="BX164" s="526"/>
      <c r="BY164" s="481"/>
      <c r="BZ164" s="499"/>
      <c r="CA164" s="499"/>
      <c r="CB164" s="526"/>
      <c r="CC164" s="481"/>
      <c r="CD164" s="499"/>
      <c r="CE164" s="499"/>
      <c r="CF164" s="526"/>
      <c r="CG164" s="481"/>
      <c r="CH164" s="499"/>
      <c r="CI164" s="499"/>
      <c r="CJ164" s="526"/>
      <c r="CK164" s="481"/>
      <c r="CL164" s="499"/>
      <c r="CM164" s="499"/>
      <c r="CN164" s="526"/>
      <c r="CO164" s="481"/>
      <c r="CP164" s="509"/>
      <c r="CQ164" s="509"/>
      <c r="CR164" s="520"/>
      <c r="CS164" s="515"/>
      <c r="CT164" s="509"/>
      <c r="CU164" s="509"/>
      <c r="CV164" s="520"/>
      <c r="CW164" s="515"/>
      <c r="CX164" s="499"/>
      <c r="CY164" s="499"/>
      <c r="CZ164" s="526"/>
      <c r="DA164" s="481"/>
      <c r="DB164" s="509"/>
      <c r="DC164" s="509"/>
      <c r="DD164" s="520"/>
      <c r="DE164" s="515"/>
    </row>
    <row r="165" spans="1:109" ht="12.75">
      <c r="A165" s="504">
        <v>151</v>
      </c>
      <c r="B165" s="505" t="s">
        <v>242</v>
      </c>
      <c r="C165" s="371" t="s">
        <v>10</v>
      </c>
      <c r="D165" s="371" t="s">
        <v>243</v>
      </c>
      <c r="F165" s="549">
        <v>1987</v>
      </c>
      <c r="G165" s="506">
        <f t="shared" si="7"/>
        <v>715.6583629893239</v>
      </c>
      <c r="H165" s="507">
        <f t="shared" si="6"/>
        <v>715.6583629893239</v>
      </c>
      <c r="I165" s="508">
        <v>1</v>
      </c>
      <c r="J165" s="524"/>
      <c r="K165" s="499"/>
      <c r="M165" s="491"/>
      <c r="N165" s="524"/>
      <c r="O165" s="499"/>
      <c r="Q165" s="491"/>
      <c r="R165" s="524"/>
      <c r="S165" s="499"/>
      <c r="T165" s="516"/>
      <c r="U165" s="481"/>
      <c r="V165" s="524"/>
      <c r="W165" s="499"/>
      <c r="X165" s="516"/>
      <c r="Y165" s="481"/>
      <c r="Z165" s="524"/>
      <c r="AA165" s="499"/>
      <c r="AB165" s="516"/>
      <c r="AC165" s="481"/>
      <c r="AD165" s="524"/>
      <c r="AE165" s="524"/>
      <c r="AF165" s="516"/>
      <c r="AG165" s="491"/>
      <c r="AH165" s="524"/>
      <c r="AI165" s="537"/>
      <c r="AJ165" s="516"/>
      <c r="AK165" s="481"/>
      <c r="AL165" s="524"/>
      <c r="AM165" s="537"/>
      <c r="AN165" s="526"/>
      <c r="AO165" s="481"/>
      <c r="AP165" s="524"/>
      <c r="AQ165" s="499"/>
      <c r="AR165" s="498"/>
      <c r="AS165" s="481"/>
      <c r="AT165" s="499"/>
      <c r="AU165" s="499"/>
      <c r="AV165" s="526"/>
      <c r="AW165" s="481"/>
      <c r="AX165" s="524"/>
      <c r="AY165" s="524"/>
      <c r="AZ165" s="516"/>
      <c r="BA165" s="515"/>
      <c r="BB165" s="499"/>
      <c r="BC165" s="499"/>
      <c r="BD165" s="516"/>
      <c r="BE165" s="481"/>
      <c r="BF165" s="509" t="s">
        <v>700</v>
      </c>
      <c r="BG165" s="509" t="s">
        <v>1</v>
      </c>
      <c r="BH165" s="513">
        <v>0.03256944444444444</v>
      </c>
      <c r="BI165" s="540"/>
      <c r="BJ165" s="509" t="s">
        <v>700</v>
      </c>
      <c r="BK165" s="509" t="s">
        <v>1</v>
      </c>
      <c r="BL165" s="513">
        <v>0.012118055555555556</v>
      </c>
      <c r="BM165" s="540"/>
      <c r="BN165" s="509"/>
      <c r="BO165" s="509"/>
      <c r="BP165" s="509"/>
      <c r="BQ165" s="502"/>
      <c r="BR165" s="509"/>
      <c r="BS165" s="509"/>
      <c r="BT165" s="509"/>
      <c r="BU165" s="515"/>
      <c r="BV165" s="499"/>
      <c r="BW165" s="499"/>
      <c r="BX165" s="516"/>
      <c r="BY165" s="481"/>
      <c r="BZ165" s="499"/>
      <c r="CA165" s="499"/>
      <c r="CB165" s="526"/>
      <c r="CC165" s="481"/>
      <c r="CD165" s="509" t="s">
        <v>292</v>
      </c>
      <c r="CE165" s="509" t="s">
        <v>1</v>
      </c>
      <c r="CF165" s="513">
        <v>0.04827546296296296</v>
      </c>
      <c r="CG165" s="481">
        <v>715.6583629893239</v>
      </c>
      <c r="CH165" s="499"/>
      <c r="CI165" s="499"/>
      <c r="CJ165" s="516"/>
      <c r="CK165" s="481"/>
      <c r="CL165" s="499"/>
      <c r="CM165" s="499"/>
      <c r="CN165" s="516"/>
      <c r="CO165" s="481"/>
      <c r="CP165" s="509"/>
      <c r="CQ165" s="509"/>
      <c r="CR165" s="526"/>
      <c r="CS165" s="481"/>
      <c r="CT165" s="499"/>
      <c r="CU165" s="499"/>
      <c r="CV165" s="526"/>
      <c r="CW165" s="481"/>
      <c r="CX165" s="499"/>
      <c r="CY165" s="499"/>
      <c r="CZ165" s="526"/>
      <c r="DA165" s="481"/>
      <c r="DB165" s="499"/>
      <c r="DC165" s="499"/>
      <c r="DD165" s="516"/>
      <c r="DE165" s="481"/>
    </row>
    <row r="166" spans="1:109" ht="12.75">
      <c r="A166" s="504">
        <v>152</v>
      </c>
      <c r="B166" s="505" t="s">
        <v>233</v>
      </c>
      <c r="C166" s="371" t="s">
        <v>10</v>
      </c>
      <c r="D166" s="371" t="s">
        <v>235</v>
      </c>
      <c r="E166" s="495" t="s">
        <v>360</v>
      </c>
      <c r="F166" s="548">
        <v>1969</v>
      </c>
      <c r="G166" s="506">
        <f t="shared" si="7"/>
        <v>703.4850455136542</v>
      </c>
      <c r="H166" s="507">
        <f t="shared" si="6"/>
        <v>703.4850455136542</v>
      </c>
      <c r="I166" s="508">
        <v>1</v>
      </c>
      <c r="J166" s="524"/>
      <c r="K166" s="499"/>
      <c r="M166" s="491"/>
      <c r="N166" s="524"/>
      <c r="O166" s="499"/>
      <c r="Q166" s="491"/>
      <c r="R166" s="524"/>
      <c r="S166" s="499"/>
      <c r="U166" s="491"/>
      <c r="V166" s="524"/>
      <c r="W166" s="499"/>
      <c r="Y166" s="491"/>
      <c r="Z166" s="524"/>
      <c r="AA166" s="499"/>
      <c r="AC166" s="491"/>
      <c r="AD166" s="524"/>
      <c r="AE166" s="524"/>
      <c r="AG166" s="491"/>
      <c r="AH166" s="524"/>
      <c r="AI166" s="524"/>
      <c r="AK166" s="491"/>
      <c r="AL166" s="524"/>
      <c r="AM166" s="524"/>
      <c r="AO166" s="491"/>
      <c r="AP166" s="541"/>
      <c r="AQ166" s="509"/>
      <c r="AS166" s="502"/>
      <c r="AT166" s="509"/>
      <c r="AU166" s="509"/>
      <c r="AW166" s="502"/>
      <c r="AX166" s="509"/>
      <c r="AY166" s="509"/>
      <c r="BA166" s="502"/>
      <c r="BB166" s="499"/>
      <c r="BC166" s="499"/>
      <c r="BD166" s="498"/>
      <c r="BE166" s="491"/>
      <c r="BF166" s="499"/>
      <c r="BG166" s="499"/>
      <c r="BH166" s="498"/>
      <c r="BI166" s="491"/>
      <c r="BJ166" s="509"/>
      <c r="BK166" s="509"/>
      <c r="BL166" s="501"/>
      <c r="BM166" s="502"/>
      <c r="BN166" s="509"/>
      <c r="BO166" s="509"/>
      <c r="BP166" s="501"/>
      <c r="BQ166" s="502"/>
      <c r="BR166" s="509"/>
      <c r="BS166" s="509"/>
      <c r="BT166" s="501"/>
      <c r="BU166" s="502"/>
      <c r="BV166" s="509"/>
      <c r="BW166" s="509"/>
      <c r="BX166" s="520"/>
      <c r="BY166" s="515"/>
      <c r="BZ166" s="509"/>
      <c r="CA166" s="509"/>
      <c r="CB166" s="520"/>
      <c r="CC166" s="481"/>
      <c r="CD166" s="509" t="s">
        <v>372</v>
      </c>
      <c r="CE166" s="509" t="s">
        <v>2</v>
      </c>
      <c r="CF166" s="513">
        <v>0.042743055555555555</v>
      </c>
      <c r="CG166" s="481">
        <v>703.4850455136542</v>
      </c>
      <c r="CH166" s="499"/>
      <c r="CI166" s="499"/>
      <c r="CJ166" s="526"/>
      <c r="CK166" s="481"/>
      <c r="CL166" s="499"/>
      <c r="CM166" s="499"/>
      <c r="CN166" s="526"/>
      <c r="CO166" s="481"/>
      <c r="CP166" s="499"/>
      <c r="CQ166" s="499"/>
      <c r="CR166" s="520"/>
      <c r="CS166" s="515"/>
      <c r="CT166" s="509"/>
      <c r="CU166" s="509"/>
      <c r="CV166" s="520"/>
      <c r="CW166" s="515"/>
      <c r="CX166" s="509"/>
      <c r="CY166" s="509"/>
      <c r="CZ166" s="520"/>
      <c r="DA166" s="515"/>
      <c r="DB166" s="499"/>
      <c r="DC166" s="499"/>
      <c r="DD166" s="516"/>
      <c r="DE166" s="481"/>
    </row>
    <row r="167" spans="1:111" ht="12.75">
      <c r="A167" s="504">
        <v>153</v>
      </c>
      <c r="B167" s="522" t="s">
        <v>650</v>
      </c>
      <c r="C167" s="371" t="s">
        <v>10</v>
      </c>
      <c r="D167" s="371" t="s">
        <v>235</v>
      </c>
      <c r="E167" s="495" t="s">
        <v>360</v>
      </c>
      <c r="F167" s="549"/>
      <c r="G167" s="506">
        <f t="shared" si="7"/>
        <v>693.5835681640491</v>
      </c>
      <c r="H167" s="507">
        <f t="shared" si="6"/>
        <v>693.5835681640491</v>
      </c>
      <c r="I167" s="508">
        <v>2</v>
      </c>
      <c r="J167" s="524"/>
      <c r="K167" s="499"/>
      <c r="L167" s="526"/>
      <c r="M167" s="481"/>
      <c r="N167" s="524"/>
      <c r="O167" s="499"/>
      <c r="P167" s="516"/>
      <c r="Q167" s="481"/>
      <c r="R167" s="524"/>
      <c r="S167" s="499"/>
      <c r="T167" s="516"/>
      <c r="U167" s="481"/>
      <c r="V167" s="524"/>
      <c r="W167" s="499"/>
      <c r="X167" s="516"/>
      <c r="Y167" s="481"/>
      <c r="Z167" s="509"/>
      <c r="AA167" s="509"/>
      <c r="AB167" s="513"/>
      <c r="AC167" s="481"/>
      <c r="AD167" s="509"/>
      <c r="AE167" s="509"/>
      <c r="AF167" s="513"/>
      <c r="AG167" s="481"/>
      <c r="AH167" s="509"/>
      <c r="AI167" s="509"/>
      <c r="AJ167" s="513"/>
      <c r="AK167" s="481"/>
      <c r="AL167" s="509" t="s">
        <v>372</v>
      </c>
      <c r="AM167" s="509" t="s">
        <v>158</v>
      </c>
      <c r="AN167" s="513">
        <v>0.11744212962962963</v>
      </c>
      <c r="AO167" s="481">
        <v>190.41659342590953</v>
      </c>
      <c r="AP167" s="509" t="s">
        <v>372</v>
      </c>
      <c r="AQ167" s="509" t="s">
        <v>2</v>
      </c>
      <c r="AR167" s="513">
        <v>0.026828703703703702</v>
      </c>
      <c r="AS167" s="481">
        <v>503.1669747381396</v>
      </c>
      <c r="AT167" s="524"/>
      <c r="AU167" s="524"/>
      <c r="AV167" s="516"/>
      <c r="AW167" s="481"/>
      <c r="AX167" s="499"/>
      <c r="AY167" s="499"/>
      <c r="AZ167" s="526"/>
      <c r="BA167" s="481"/>
      <c r="BB167" s="499"/>
      <c r="BC167" s="499"/>
      <c r="BD167" s="516"/>
      <c r="BE167" s="481"/>
      <c r="BF167" s="499"/>
      <c r="BG167" s="499"/>
      <c r="BH167" s="526"/>
      <c r="BI167" s="481"/>
      <c r="BJ167" s="499"/>
      <c r="BK167" s="499"/>
      <c r="BL167" s="516"/>
      <c r="BM167" s="491"/>
      <c r="BN167" s="499"/>
      <c r="BO167" s="499"/>
      <c r="BP167" s="526"/>
      <c r="BQ167" s="481"/>
      <c r="BR167" s="499"/>
      <c r="BS167" s="499"/>
      <c r="BT167" s="526"/>
      <c r="BU167" s="481"/>
      <c r="BV167" s="499"/>
      <c r="BW167" s="499"/>
      <c r="BX167" s="516"/>
      <c r="BY167" s="481"/>
      <c r="BZ167" s="499"/>
      <c r="CA167" s="499"/>
      <c r="CB167" s="526"/>
      <c r="CC167" s="481"/>
      <c r="CD167" s="499"/>
      <c r="CE167" s="499"/>
      <c r="CF167" s="526"/>
      <c r="CG167" s="481"/>
      <c r="CH167" s="509"/>
      <c r="CI167" s="509"/>
      <c r="CJ167" s="520"/>
      <c r="CK167" s="515"/>
      <c r="CL167" s="509"/>
      <c r="CM167" s="509"/>
      <c r="CN167" s="520"/>
      <c r="CO167" s="515"/>
      <c r="CP167" s="499"/>
      <c r="CQ167" s="499"/>
      <c r="CR167" s="520"/>
      <c r="CS167" s="515"/>
      <c r="CT167" s="509"/>
      <c r="CU167" s="509"/>
      <c r="CV167" s="520"/>
      <c r="CW167" s="515"/>
      <c r="CX167" s="499"/>
      <c r="CY167" s="499"/>
      <c r="CZ167" s="516"/>
      <c r="DA167" s="481"/>
      <c r="DB167" s="499"/>
      <c r="DC167" s="499"/>
      <c r="DD167" s="516"/>
      <c r="DE167" s="481"/>
      <c r="DF167" s="494"/>
      <c r="DG167" s="494"/>
    </row>
    <row r="168" spans="1:109" ht="12.75">
      <c r="A168" s="504">
        <v>154</v>
      </c>
      <c r="B168" s="522" t="s">
        <v>819</v>
      </c>
      <c r="C168" s="371" t="s">
        <v>10</v>
      </c>
      <c r="D168" s="527" t="s">
        <v>379</v>
      </c>
      <c r="E168" s="495" t="s">
        <v>375</v>
      </c>
      <c r="F168" s="549">
        <v>1962</v>
      </c>
      <c r="G168" s="506">
        <f t="shared" si="7"/>
        <v>647.9843953185956</v>
      </c>
      <c r="H168" s="507">
        <f t="shared" si="6"/>
        <v>647.9843953185956</v>
      </c>
      <c r="I168" s="508">
        <v>1</v>
      </c>
      <c r="J168" s="524"/>
      <c r="K168" s="499"/>
      <c r="M168" s="491"/>
      <c r="N168" s="524"/>
      <c r="O168" s="499"/>
      <c r="P168" s="516"/>
      <c r="Q168" s="491"/>
      <c r="R168" s="524"/>
      <c r="S168" s="499"/>
      <c r="U168" s="491"/>
      <c r="V168" s="524"/>
      <c r="W168" s="499"/>
      <c r="Y168" s="491"/>
      <c r="Z168" s="524"/>
      <c r="AA168" s="499"/>
      <c r="AC168" s="491"/>
      <c r="AD168" s="524"/>
      <c r="AE168" s="524"/>
      <c r="AG168" s="491"/>
      <c r="AH168" s="524"/>
      <c r="AI168" s="524"/>
      <c r="AJ168" s="516"/>
      <c r="AK168" s="491"/>
      <c r="AL168" s="524"/>
      <c r="AM168" s="524"/>
      <c r="AO168" s="491"/>
      <c r="AP168" s="541"/>
      <c r="AQ168" s="509"/>
      <c r="AS168" s="502"/>
      <c r="AT168" s="509"/>
      <c r="AU168" s="509"/>
      <c r="AW168" s="502"/>
      <c r="AX168" s="499"/>
      <c r="AY168" s="499"/>
      <c r="AZ168" s="516"/>
      <c r="BA168" s="502"/>
      <c r="BB168" s="499"/>
      <c r="BC168" s="499"/>
      <c r="BD168" s="498"/>
      <c r="BE168" s="491"/>
      <c r="BF168" s="499"/>
      <c r="BG168" s="499"/>
      <c r="BH168" s="498"/>
      <c r="BI168" s="491"/>
      <c r="BJ168" s="499"/>
      <c r="BK168" s="499"/>
      <c r="BL168" s="516"/>
      <c r="BM168" s="502"/>
      <c r="BN168" s="509"/>
      <c r="BO168" s="509"/>
      <c r="BP168" s="501"/>
      <c r="BQ168" s="502"/>
      <c r="BR168" s="509"/>
      <c r="BS168" s="509"/>
      <c r="BT168" s="501"/>
      <c r="BU168" s="502"/>
      <c r="BV168" s="509"/>
      <c r="BW168" s="509"/>
      <c r="BX168" s="520"/>
      <c r="BY168" s="515"/>
      <c r="BZ168" s="499"/>
      <c r="CA168" s="499"/>
      <c r="CB168" s="516"/>
      <c r="CC168" s="481"/>
      <c r="CD168" s="509" t="s">
        <v>651</v>
      </c>
      <c r="CE168" s="509" t="s">
        <v>2</v>
      </c>
      <c r="CF168" s="513">
        <v>0.044988425925925925</v>
      </c>
      <c r="CG168" s="481">
        <v>647.9843953185956</v>
      </c>
      <c r="CH168" s="509"/>
      <c r="CI168" s="509"/>
      <c r="CJ168" s="520"/>
      <c r="CK168" s="515"/>
      <c r="CL168" s="509"/>
      <c r="CM168" s="509"/>
      <c r="CN168" s="520"/>
      <c r="CO168" s="515"/>
      <c r="CP168" s="509"/>
      <c r="CQ168" s="509"/>
      <c r="CR168" s="516"/>
      <c r="CS168" s="481"/>
      <c r="CT168" s="499"/>
      <c r="CU168" s="499"/>
      <c r="CV168" s="516"/>
      <c r="CW168" s="481"/>
      <c r="CX168" s="499"/>
      <c r="CY168" s="499"/>
      <c r="CZ168" s="526"/>
      <c r="DA168" s="481"/>
      <c r="DB168" s="509"/>
      <c r="DC168" s="509"/>
      <c r="DD168" s="513"/>
      <c r="DE168" s="515"/>
    </row>
    <row r="169" spans="1:111" ht="12.75">
      <c r="A169" s="504">
        <v>155</v>
      </c>
      <c r="B169" s="505" t="s">
        <v>218</v>
      </c>
      <c r="C169" s="371" t="s">
        <v>10</v>
      </c>
      <c r="D169" s="371" t="s">
        <v>192</v>
      </c>
      <c r="E169" s="495" t="s">
        <v>359</v>
      </c>
      <c r="F169" s="549">
        <v>1999</v>
      </c>
      <c r="G169" s="506">
        <f t="shared" si="7"/>
        <v>602.6666666666667</v>
      </c>
      <c r="H169" s="507">
        <f t="shared" si="6"/>
        <v>602.6666666666667</v>
      </c>
      <c r="I169" s="508">
        <v>1</v>
      </c>
      <c r="J169" s="524" t="s">
        <v>573</v>
      </c>
      <c r="K169" s="499" t="s">
        <v>2</v>
      </c>
      <c r="L169" s="516">
        <v>0.041122685185185186</v>
      </c>
      <c r="M169" s="481">
        <v>602.6666666666667</v>
      </c>
      <c r="N169" s="524"/>
      <c r="O169" s="499"/>
      <c r="Q169" s="491"/>
      <c r="R169" s="524"/>
      <c r="S169" s="499"/>
      <c r="U169" s="491"/>
      <c r="V169" s="524"/>
      <c r="W169" s="499"/>
      <c r="Y169" s="491"/>
      <c r="Z169" s="524"/>
      <c r="AA169" s="499"/>
      <c r="AC169" s="481"/>
      <c r="AD169" s="524"/>
      <c r="AE169" s="524"/>
      <c r="AG169" s="491"/>
      <c r="AH169" s="524"/>
      <c r="AI169" s="524"/>
      <c r="AK169" s="481"/>
      <c r="AL169" s="524"/>
      <c r="AM169" s="524"/>
      <c r="AN169" s="516"/>
      <c r="AO169" s="481"/>
      <c r="AP169" s="524"/>
      <c r="AQ169" s="498"/>
      <c r="AR169" s="526"/>
      <c r="AS169" s="481"/>
      <c r="AT169" s="499"/>
      <c r="AU169" s="499"/>
      <c r="AV169" s="526"/>
      <c r="AW169" s="481"/>
      <c r="AX169" s="499"/>
      <c r="AY169" s="499"/>
      <c r="AZ169" s="526"/>
      <c r="BA169" s="481"/>
      <c r="BB169" s="499"/>
      <c r="BC169" s="499"/>
      <c r="BD169" s="516"/>
      <c r="BE169" s="481"/>
      <c r="BF169" s="499"/>
      <c r="BG169" s="499"/>
      <c r="BH169" s="516"/>
      <c r="BI169" s="481"/>
      <c r="BJ169" s="499"/>
      <c r="BK169" s="499"/>
      <c r="BL169" s="516"/>
      <c r="BM169" s="481"/>
      <c r="BN169" s="499"/>
      <c r="BO169" s="499"/>
      <c r="BP169" s="526"/>
      <c r="BQ169" s="481"/>
      <c r="BR169" s="499"/>
      <c r="BS169" s="499"/>
      <c r="BT169" s="526"/>
      <c r="BU169" s="481"/>
      <c r="BV169" s="499"/>
      <c r="BW169" s="499"/>
      <c r="BX169" s="526"/>
      <c r="BY169" s="481"/>
      <c r="BZ169" s="499"/>
      <c r="CA169" s="499"/>
      <c r="CB169" s="526"/>
      <c r="CC169" s="481"/>
      <c r="CD169" s="499"/>
      <c r="CE169" s="499"/>
      <c r="CF169" s="526"/>
      <c r="CG169" s="481"/>
      <c r="CH169" s="509"/>
      <c r="CI169" s="509"/>
      <c r="CJ169" s="520"/>
      <c r="CK169" s="515"/>
      <c r="CL169" s="509"/>
      <c r="CM169" s="509"/>
      <c r="CN169" s="520"/>
      <c r="CO169" s="515"/>
      <c r="CP169" s="499"/>
      <c r="CQ169" s="499"/>
      <c r="CR169" s="516"/>
      <c r="CS169" s="481"/>
      <c r="CT169" s="499"/>
      <c r="CU169" s="499"/>
      <c r="CV169" s="516"/>
      <c r="CW169" s="481"/>
      <c r="CX169" s="499"/>
      <c r="CY169" s="499"/>
      <c r="CZ169" s="516"/>
      <c r="DA169" s="481"/>
      <c r="DB169" s="499"/>
      <c r="DC169" s="499"/>
      <c r="DD169" s="526"/>
      <c r="DE169" s="481"/>
      <c r="DF169" s="494"/>
      <c r="DG169" s="494"/>
    </row>
    <row r="170" spans="1:111" ht="12.75">
      <c r="A170" s="504">
        <v>156</v>
      </c>
      <c r="B170" s="522" t="s">
        <v>799</v>
      </c>
      <c r="C170" s="371" t="s">
        <v>10</v>
      </c>
      <c r="D170" s="527" t="s">
        <v>800</v>
      </c>
      <c r="F170" s="549">
        <v>1995</v>
      </c>
      <c r="G170" s="506">
        <f t="shared" si="7"/>
        <v>579.3594306049821</v>
      </c>
      <c r="H170" s="507">
        <f t="shared" si="6"/>
        <v>579.3594306049821</v>
      </c>
      <c r="I170" s="508">
        <v>1</v>
      </c>
      <c r="J170" s="524"/>
      <c r="K170" s="499"/>
      <c r="M170" s="491"/>
      <c r="N170" s="524"/>
      <c r="O170" s="499"/>
      <c r="P170" s="516"/>
      <c r="Q170" s="491"/>
      <c r="R170" s="524"/>
      <c r="S170" s="499"/>
      <c r="U170" s="491"/>
      <c r="V170" s="524"/>
      <c r="W170" s="499"/>
      <c r="Y170" s="491"/>
      <c r="Z170" s="524"/>
      <c r="AA170" s="499"/>
      <c r="AC170" s="491"/>
      <c r="AD170" s="524"/>
      <c r="AE170" s="524"/>
      <c r="AG170" s="491"/>
      <c r="AH170" s="524"/>
      <c r="AI170" s="524"/>
      <c r="AJ170" s="516"/>
      <c r="AK170" s="491"/>
      <c r="AL170" s="524"/>
      <c r="AM170" s="524"/>
      <c r="AO170" s="491"/>
      <c r="AP170" s="541"/>
      <c r="AQ170" s="509"/>
      <c r="AS170" s="502"/>
      <c r="AT170" s="509"/>
      <c r="AU170" s="509"/>
      <c r="AW170" s="502"/>
      <c r="AX170" s="499"/>
      <c r="AY170" s="499"/>
      <c r="AZ170" s="516"/>
      <c r="BA170" s="502"/>
      <c r="BB170" s="499"/>
      <c r="BC170" s="499"/>
      <c r="BD170" s="498"/>
      <c r="BE170" s="491"/>
      <c r="BF170" s="499"/>
      <c r="BG170" s="499"/>
      <c r="BH170" s="498"/>
      <c r="BI170" s="491"/>
      <c r="BJ170" s="499"/>
      <c r="BK170" s="499"/>
      <c r="BL170" s="516"/>
      <c r="BM170" s="502"/>
      <c r="BN170" s="509"/>
      <c r="BO170" s="509"/>
      <c r="BP170" s="501"/>
      <c r="BQ170" s="502"/>
      <c r="BR170" s="509"/>
      <c r="BS170" s="509"/>
      <c r="BT170" s="501"/>
      <c r="BU170" s="502"/>
      <c r="BV170" s="509"/>
      <c r="BW170" s="509"/>
      <c r="BX170" s="520"/>
      <c r="BY170" s="515"/>
      <c r="BZ170" s="499"/>
      <c r="CA170" s="499"/>
      <c r="CB170" s="516"/>
      <c r="CC170" s="481"/>
      <c r="CD170" s="509" t="s">
        <v>292</v>
      </c>
      <c r="CE170" s="509" t="s">
        <v>1</v>
      </c>
      <c r="CF170" s="513">
        <v>0.052708333333333336</v>
      </c>
      <c r="CG170" s="481">
        <v>579.3594306049821</v>
      </c>
      <c r="CH170" s="499"/>
      <c r="CI170" s="499"/>
      <c r="CJ170" s="516"/>
      <c r="CK170" s="481"/>
      <c r="CL170" s="499"/>
      <c r="CM170" s="499"/>
      <c r="CN170" s="516"/>
      <c r="CO170" s="481"/>
      <c r="CP170" s="499"/>
      <c r="CQ170" s="499"/>
      <c r="CR170" s="526"/>
      <c r="CS170" s="481"/>
      <c r="CT170" s="499"/>
      <c r="CU170" s="499"/>
      <c r="CV170" s="526"/>
      <c r="CW170" s="481"/>
      <c r="CX170" s="499"/>
      <c r="CY170" s="499"/>
      <c r="CZ170" s="526"/>
      <c r="DA170" s="481"/>
      <c r="DB170" s="499"/>
      <c r="DC170" s="499"/>
      <c r="DD170" s="526"/>
      <c r="DE170" s="481"/>
      <c r="DF170" s="494"/>
      <c r="DG170" s="494"/>
    </row>
    <row r="171" spans="1:109" ht="12.75">
      <c r="A171" s="504">
        <v>157</v>
      </c>
      <c r="B171" s="522" t="s">
        <v>816</v>
      </c>
      <c r="C171" s="371" t="s">
        <v>10</v>
      </c>
      <c r="D171" s="527"/>
      <c r="E171" s="528" t="s">
        <v>360</v>
      </c>
      <c r="F171" s="549"/>
      <c r="G171" s="506">
        <f t="shared" si="7"/>
        <v>577.893368010403</v>
      </c>
      <c r="H171" s="507">
        <f t="shared" si="6"/>
        <v>577.893368010403</v>
      </c>
      <c r="I171" s="508">
        <v>1</v>
      </c>
      <c r="J171" s="524"/>
      <c r="K171" s="499"/>
      <c r="M171" s="491"/>
      <c r="N171" s="524"/>
      <c r="O171" s="499"/>
      <c r="P171" s="516"/>
      <c r="Q171" s="491"/>
      <c r="R171" s="524"/>
      <c r="S171" s="499"/>
      <c r="U171" s="491"/>
      <c r="V171" s="524"/>
      <c r="W171" s="499"/>
      <c r="Y171" s="491"/>
      <c r="Z171" s="524"/>
      <c r="AA171" s="499"/>
      <c r="AC171" s="491"/>
      <c r="AD171" s="524"/>
      <c r="AE171" s="524"/>
      <c r="AG171" s="491"/>
      <c r="AH171" s="524"/>
      <c r="AI171" s="524"/>
      <c r="AJ171" s="516"/>
      <c r="AK171" s="491"/>
      <c r="AL171" s="524"/>
      <c r="AM171" s="524"/>
      <c r="AO171" s="491"/>
      <c r="AP171" s="541"/>
      <c r="AQ171" s="509"/>
      <c r="AS171" s="502"/>
      <c r="AT171" s="509"/>
      <c r="AU171" s="509"/>
      <c r="AW171" s="502"/>
      <c r="AX171" s="499"/>
      <c r="AY171" s="499"/>
      <c r="AZ171" s="516"/>
      <c r="BA171" s="502"/>
      <c r="BB171" s="499"/>
      <c r="BC171" s="499"/>
      <c r="BD171" s="498"/>
      <c r="BE171" s="491"/>
      <c r="BF171" s="499"/>
      <c r="BG171" s="499"/>
      <c r="BH171" s="498"/>
      <c r="BI171" s="491"/>
      <c r="BJ171" s="499"/>
      <c r="BK171" s="499"/>
      <c r="BL171" s="516"/>
      <c r="BM171" s="502"/>
      <c r="BN171" s="509"/>
      <c r="BO171" s="509"/>
      <c r="BP171" s="501"/>
      <c r="BQ171" s="502"/>
      <c r="BR171" s="509"/>
      <c r="BS171" s="509"/>
      <c r="BT171" s="501"/>
      <c r="BU171" s="502"/>
      <c r="BV171" s="509"/>
      <c r="BW171" s="509"/>
      <c r="BX171" s="520"/>
      <c r="BY171" s="515"/>
      <c r="BZ171" s="499"/>
      <c r="CA171" s="499"/>
      <c r="CB171" s="516"/>
      <c r="CC171" s="481"/>
      <c r="CD171" s="509" t="s">
        <v>372</v>
      </c>
      <c r="CE171" s="509" t="s">
        <v>2</v>
      </c>
      <c r="CF171" s="513">
        <v>0.047824074074074074</v>
      </c>
      <c r="CG171" s="481">
        <v>577.893368010403</v>
      </c>
      <c r="CH171" s="499"/>
      <c r="CI171" s="499"/>
      <c r="CJ171" s="526"/>
      <c r="CK171" s="481"/>
      <c r="CL171" s="499"/>
      <c r="CM171" s="499"/>
      <c r="CN171" s="526"/>
      <c r="CO171" s="481"/>
      <c r="CP171" s="499"/>
      <c r="CQ171" s="499"/>
      <c r="CR171" s="526"/>
      <c r="CS171" s="481"/>
      <c r="CT171" s="499"/>
      <c r="CU171" s="499"/>
      <c r="CV171" s="526"/>
      <c r="CW171" s="481"/>
      <c r="CX171" s="509"/>
      <c r="CY171" s="509"/>
      <c r="CZ171" s="520"/>
      <c r="DA171" s="515"/>
      <c r="DB171" s="499"/>
      <c r="DC171" s="499"/>
      <c r="DD171" s="526"/>
      <c r="DE171" s="481"/>
    </row>
    <row r="172" spans="1:109" ht="12.75">
      <c r="A172" s="504">
        <v>158</v>
      </c>
      <c r="B172" s="522" t="s">
        <v>823</v>
      </c>
      <c r="C172" s="371" t="s">
        <v>10</v>
      </c>
      <c r="D172" s="527" t="s">
        <v>821</v>
      </c>
      <c r="E172" s="528" t="s">
        <v>375</v>
      </c>
      <c r="F172" s="549">
        <v>1955</v>
      </c>
      <c r="G172" s="506">
        <f t="shared" si="7"/>
        <v>575.9993763642034</v>
      </c>
      <c r="H172" s="507">
        <f t="shared" si="6"/>
        <v>575.9993763642034</v>
      </c>
      <c r="I172" s="508">
        <v>1</v>
      </c>
      <c r="J172" s="524"/>
      <c r="K172" s="499"/>
      <c r="M172" s="491"/>
      <c r="N172" s="524"/>
      <c r="O172" s="499"/>
      <c r="P172" s="516"/>
      <c r="Q172" s="491"/>
      <c r="R172" s="524"/>
      <c r="S172" s="499"/>
      <c r="U172" s="491"/>
      <c r="V172" s="524"/>
      <c r="W172" s="499"/>
      <c r="Y172" s="491"/>
      <c r="Z172" s="524"/>
      <c r="AA172" s="499"/>
      <c r="AC172" s="491"/>
      <c r="AD172" s="524"/>
      <c r="AE172" s="524"/>
      <c r="AG172" s="491"/>
      <c r="AH172" s="524"/>
      <c r="AI172" s="524"/>
      <c r="AJ172" s="516"/>
      <c r="AK172" s="491"/>
      <c r="AL172" s="524"/>
      <c r="AM172" s="524"/>
      <c r="AO172" s="491"/>
      <c r="AP172" s="541"/>
      <c r="AQ172" s="509"/>
      <c r="AS172" s="502"/>
      <c r="AT172" s="509"/>
      <c r="AU172" s="509"/>
      <c r="AW172" s="502"/>
      <c r="AX172" s="499"/>
      <c r="AY172" s="499"/>
      <c r="AZ172" s="516"/>
      <c r="BA172" s="502"/>
      <c r="BB172" s="499"/>
      <c r="BC172" s="499"/>
      <c r="BD172" s="498"/>
      <c r="BE172" s="491"/>
      <c r="BF172" s="499"/>
      <c r="BG172" s="499"/>
      <c r="BH172" s="498"/>
      <c r="BI172" s="491"/>
      <c r="BJ172" s="499"/>
      <c r="BK172" s="499"/>
      <c r="BL172" s="516"/>
      <c r="BM172" s="502"/>
      <c r="BN172" s="509"/>
      <c r="BO172" s="509"/>
      <c r="BP172" s="501"/>
      <c r="BQ172" s="502"/>
      <c r="BR172" s="509"/>
      <c r="BS172" s="509"/>
      <c r="BT172" s="501"/>
      <c r="BU172" s="502"/>
      <c r="BV172" s="509"/>
      <c r="BW172" s="509"/>
      <c r="BX172" s="520"/>
      <c r="BY172" s="515"/>
      <c r="BZ172" s="499"/>
      <c r="CA172" s="499"/>
      <c r="CB172" s="516"/>
      <c r="CC172" s="481"/>
      <c r="CD172" s="509" t="s">
        <v>652</v>
      </c>
      <c r="CE172" s="509" t="s">
        <v>158</v>
      </c>
      <c r="CF172" s="513">
        <v>0.04646990740740741</v>
      </c>
      <c r="CG172" s="481">
        <v>575.9993763642034</v>
      </c>
      <c r="CH172" s="499"/>
      <c r="CI172" s="499"/>
      <c r="CJ172" s="526"/>
      <c r="CK172" s="481"/>
      <c r="CL172" s="499"/>
      <c r="CM172" s="499"/>
      <c r="CN172" s="526"/>
      <c r="CO172" s="481"/>
      <c r="CP172" s="499"/>
      <c r="CQ172" s="499"/>
      <c r="CR172" s="526"/>
      <c r="CS172" s="481"/>
      <c r="CT172" s="499"/>
      <c r="CU172" s="499"/>
      <c r="CV172" s="526"/>
      <c r="CW172" s="481"/>
      <c r="CX172" s="499"/>
      <c r="CY172" s="499"/>
      <c r="CZ172" s="516"/>
      <c r="DA172" s="481"/>
      <c r="DB172" s="509"/>
      <c r="DC172" s="509"/>
      <c r="DD172" s="520"/>
      <c r="DE172" s="515"/>
    </row>
    <row r="173" spans="1:111" ht="12.75">
      <c r="A173" s="504">
        <v>159</v>
      </c>
      <c r="B173" s="522" t="s">
        <v>230</v>
      </c>
      <c r="C173" s="371" t="s">
        <v>10</v>
      </c>
      <c r="D173" s="371" t="s">
        <v>74</v>
      </c>
      <c r="E173" s="495" t="s">
        <v>360</v>
      </c>
      <c r="F173" s="549">
        <v>1972</v>
      </c>
      <c r="G173" s="506">
        <f t="shared" si="7"/>
        <v>563.8940234134321</v>
      </c>
      <c r="H173" s="507">
        <f t="shared" si="6"/>
        <v>563.8940234134321</v>
      </c>
      <c r="I173" s="508">
        <v>1</v>
      </c>
      <c r="J173" s="524"/>
      <c r="K173" s="499"/>
      <c r="L173" s="526"/>
      <c r="M173" s="481"/>
      <c r="N173" s="524"/>
      <c r="O173" s="499"/>
      <c r="P173" s="516"/>
      <c r="Q173" s="481"/>
      <c r="R173" s="524"/>
      <c r="S173" s="499"/>
      <c r="T173" s="516"/>
      <c r="U173" s="481"/>
      <c r="V173" s="524"/>
      <c r="W173" s="499"/>
      <c r="X173" s="516"/>
      <c r="Y173" s="481"/>
      <c r="Z173" s="509"/>
      <c r="AA173" s="509"/>
      <c r="AB173" s="513"/>
      <c r="AC173" s="481"/>
      <c r="AD173" s="509"/>
      <c r="AE173" s="509"/>
      <c r="AF173" s="513"/>
      <c r="AG173" s="481"/>
      <c r="AH173" s="509"/>
      <c r="AI173" s="509"/>
      <c r="AJ173" s="513"/>
      <c r="AK173" s="481"/>
      <c r="AL173" s="509"/>
      <c r="AM173" s="509"/>
      <c r="AN173" s="509"/>
      <c r="AO173" s="481"/>
      <c r="AP173" s="509" t="s">
        <v>372</v>
      </c>
      <c r="AQ173" s="509" t="s">
        <v>2</v>
      </c>
      <c r="AR173" s="513">
        <v>0.025532407407407406</v>
      </c>
      <c r="AS173" s="481">
        <v>563.8940234134321</v>
      </c>
      <c r="AT173" s="524"/>
      <c r="AU173" s="524"/>
      <c r="AV173" s="516"/>
      <c r="AW173" s="481"/>
      <c r="AX173" s="524"/>
      <c r="AY173" s="524"/>
      <c r="AZ173" s="516"/>
      <c r="BA173" s="481"/>
      <c r="BB173" s="524"/>
      <c r="BC173" s="524"/>
      <c r="BD173" s="516"/>
      <c r="BE173" s="481"/>
      <c r="BF173" s="499"/>
      <c r="BG173" s="499"/>
      <c r="BH173" s="498"/>
      <c r="BI173" s="481"/>
      <c r="BJ173" s="499"/>
      <c r="BK173" s="499"/>
      <c r="BL173" s="516"/>
      <c r="BM173" s="491"/>
      <c r="BN173" s="499"/>
      <c r="BO173" s="499"/>
      <c r="BP173" s="526"/>
      <c r="BQ173" s="481"/>
      <c r="BR173" s="499"/>
      <c r="BS173" s="499"/>
      <c r="BT173" s="526"/>
      <c r="BU173" s="481"/>
      <c r="BV173" s="499"/>
      <c r="BW173" s="499"/>
      <c r="BX173" s="526"/>
      <c r="BY173" s="481"/>
      <c r="BZ173" s="499"/>
      <c r="CA173" s="499"/>
      <c r="CB173" s="526"/>
      <c r="CC173" s="481"/>
      <c r="CD173" s="499"/>
      <c r="CE173" s="499"/>
      <c r="CF173" s="526"/>
      <c r="CG173" s="481"/>
      <c r="CH173" s="499"/>
      <c r="CI173" s="499"/>
      <c r="CJ173" s="526"/>
      <c r="CK173" s="481"/>
      <c r="CL173" s="499"/>
      <c r="CM173" s="499"/>
      <c r="CN173" s="526"/>
      <c r="CO173" s="481"/>
      <c r="CP173" s="499"/>
      <c r="CQ173" s="499"/>
      <c r="CR173" s="526"/>
      <c r="CS173" s="481"/>
      <c r="CT173" s="499"/>
      <c r="CU173" s="499"/>
      <c r="CV173" s="526"/>
      <c r="CW173" s="481"/>
      <c r="CX173" s="509"/>
      <c r="CY173" s="509"/>
      <c r="CZ173" s="520"/>
      <c r="DA173" s="515"/>
      <c r="DB173" s="499"/>
      <c r="DC173" s="499"/>
      <c r="DD173" s="516"/>
      <c r="DE173" s="481"/>
      <c r="DF173" s="494"/>
      <c r="DG173" s="494"/>
    </row>
    <row r="174" spans="1:109" ht="12.75">
      <c r="A174" s="504">
        <v>160</v>
      </c>
      <c r="B174" s="522" t="s">
        <v>749</v>
      </c>
      <c r="C174" s="371" t="s">
        <v>10</v>
      </c>
      <c r="F174" s="548"/>
      <c r="G174" s="506">
        <f t="shared" si="7"/>
        <v>561.0768361574881</v>
      </c>
      <c r="H174" s="507">
        <f t="shared" si="6"/>
        <v>561.0768361574881</v>
      </c>
      <c r="I174" s="508">
        <v>3</v>
      </c>
      <c r="J174" s="524"/>
      <c r="K174" s="499"/>
      <c r="M174" s="491"/>
      <c r="N174" s="524"/>
      <c r="O174" s="499"/>
      <c r="Q174" s="481"/>
      <c r="R174" s="524"/>
      <c r="S174" s="499"/>
      <c r="U174" s="491"/>
      <c r="V174" s="524"/>
      <c r="W174" s="499"/>
      <c r="Y174" s="491"/>
      <c r="Z174" s="524"/>
      <c r="AA174" s="499"/>
      <c r="AC174" s="491"/>
      <c r="AD174" s="524"/>
      <c r="AE174" s="524"/>
      <c r="AG174" s="491"/>
      <c r="AH174" s="524"/>
      <c r="AI174" s="524"/>
      <c r="AK174" s="491"/>
      <c r="AL174" s="524"/>
      <c r="AM174" s="524"/>
      <c r="AO174" s="491"/>
      <c r="AP174" s="524"/>
      <c r="AQ174" s="499"/>
      <c r="AR174" s="498"/>
      <c r="AS174" s="491"/>
      <c r="AT174" s="509"/>
      <c r="AU174" s="509"/>
      <c r="AV174" s="509"/>
      <c r="AW174" s="502"/>
      <c r="AX174" s="509"/>
      <c r="AY174" s="509"/>
      <c r="AZ174" s="513"/>
      <c r="BA174" s="540"/>
      <c r="BB174" s="509"/>
      <c r="BC174" s="509"/>
      <c r="BD174" s="513"/>
      <c r="BE174" s="491"/>
      <c r="BF174" s="509"/>
      <c r="BG174" s="509"/>
      <c r="BH174" s="509"/>
      <c r="BI174" s="481"/>
      <c r="BJ174" s="509" t="s">
        <v>700</v>
      </c>
      <c r="BK174" s="509" t="s">
        <v>1</v>
      </c>
      <c r="BL174" s="513">
        <v>0.02342592592592593</v>
      </c>
      <c r="BM174" s="481">
        <v>10</v>
      </c>
      <c r="BN174" s="509" t="s">
        <v>700</v>
      </c>
      <c r="BO174" s="509" t="s">
        <v>1</v>
      </c>
      <c r="BP174" s="513">
        <v>0.10270833333333333</v>
      </c>
      <c r="BQ174" s="481">
        <v>31.06279121366784</v>
      </c>
      <c r="BR174" s="509" t="s">
        <v>700</v>
      </c>
      <c r="BS174" s="509" t="s">
        <v>1</v>
      </c>
      <c r="BT174" s="513">
        <v>0.04878472222222222</v>
      </c>
      <c r="BU174" s="481">
        <v>520.0140449438202</v>
      </c>
      <c r="BV174" s="499"/>
      <c r="BW174" s="499"/>
      <c r="BX174" s="498"/>
      <c r="BY174" s="481"/>
      <c r="BZ174" s="499"/>
      <c r="CA174" s="499"/>
      <c r="CB174" s="498"/>
      <c r="CC174" s="481"/>
      <c r="CD174" s="499"/>
      <c r="CE174" s="499"/>
      <c r="CF174" s="526"/>
      <c r="CG174" s="481"/>
      <c r="CH174" s="509"/>
      <c r="CI174" s="509"/>
      <c r="CJ174" s="520"/>
      <c r="CK174" s="515"/>
      <c r="CL174" s="509"/>
      <c r="CM174" s="509"/>
      <c r="CN174" s="520"/>
      <c r="CO174" s="515"/>
      <c r="CP174" s="509"/>
      <c r="CQ174" s="509"/>
      <c r="CR174" s="526"/>
      <c r="CS174" s="481"/>
      <c r="CT174" s="499"/>
      <c r="CU174" s="499"/>
      <c r="CV174" s="526"/>
      <c r="CW174" s="481"/>
      <c r="CX174" s="509"/>
      <c r="CY174" s="509"/>
      <c r="CZ174" s="520"/>
      <c r="DA174" s="515"/>
      <c r="DB174" s="499"/>
      <c r="DC174" s="499"/>
      <c r="DD174" s="526"/>
      <c r="DE174" s="481"/>
    </row>
    <row r="175" spans="1:111" ht="12.75">
      <c r="A175" s="504">
        <v>161</v>
      </c>
      <c r="B175" s="522" t="s">
        <v>544</v>
      </c>
      <c r="C175" s="371" t="s">
        <v>10</v>
      </c>
      <c r="D175" s="371" t="s">
        <v>253</v>
      </c>
      <c r="F175" s="548"/>
      <c r="G175" s="506">
        <f t="shared" si="7"/>
        <v>557.1929824561403</v>
      </c>
      <c r="H175" s="507">
        <f t="shared" si="6"/>
        <v>557.1929824561403</v>
      </c>
      <c r="I175" s="508">
        <v>1</v>
      </c>
      <c r="J175" s="509" t="s">
        <v>550</v>
      </c>
      <c r="K175" s="509" t="s">
        <v>2</v>
      </c>
      <c r="L175" s="513">
        <v>0.04299768518518519</v>
      </c>
      <c r="M175" s="481">
        <v>557.1929824561403</v>
      </c>
      <c r="N175" s="524"/>
      <c r="O175" s="499"/>
      <c r="P175" s="516"/>
      <c r="Q175" s="481"/>
      <c r="R175" s="524"/>
      <c r="S175" s="499"/>
      <c r="U175" s="481"/>
      <c r="V175" s="524"/>
      <c r="W175" s="499"/>
      <c r="Y175" s="481"/>
      <c r="Z175" s="524"/>
      <c r="AA175" s="499"/>
      <c r="AC175" s="481"/>
      <c r="AD175" s="524"/>
      <c r="AE175" s="537"/>
      <c r="AF175" s="516"/>
      <c r="AG175" s="491"/>
      <c r="AH175" s="524"/>
      <c r="AI175" s="537"/>
      <c r="AJ175" s="516"/>
      <c r="AK175" s="481"/>
      <c r="AL175" s="524"/>
      <c r="AM175" s="537"/>
      <c r="AN175" s="526"/>
      <c r="AO175" s="481"/>
      <c r="AP175" s="524"/>
      <c r="AQ175" s="524"/>
      <c r="AR175" s="535"/>
      <c r="AS175" s="481"/>
      <c r="AT175" s="524"/>
      <c r="AU175" s="524"/>
      <c r="AV175" s="498"/>
      <c r="AW175" s="481"/>
      <c r="AX175" s="524"/>
      <c r="AY175" s="524"/>
      <c r="AZ175" s="498"/>
      <c r="BA175" s="481"/>
      <c r="BB175" s="524"/>
      <c r="BC175" s="524"/>
      <c r="BD175" s="498"/>
      <c r="BE175" s="481"/>
      <c r="BF175" s="499"/>
      <c r="BG175" s="499"/>
      <c r="BH175" s="516"/>
      <c r="BI175" s="481"/>
      <c r="BJ175" s="499"/>
      <c r="BK175" s="499"/>
      <c r="BL175" s="516"/>
      <c r="BM175" s="491"/>
      <c r="BN175" s="499"/>
      <c r="BO175" s="499"/>
      <c r="BP175" s="526"/>
      <c r="BQ175" s="481"/>
      <c r="BR175" s="499"/>
      <c r="BS175" s="499"/>
      <c r="BT175" s="498"/>
      <c r="BU175" s="481"/>
      <c r="BV175" s="499"/>
      <c r="BW175" s="499"/>
      <c r="BX175" s="516"/>
      <c r="BY175" s="481"/>
      <c r="BZ175" s="499"/>
      <c r="CA175" s="499"/>
      <c r="CB175" s="516"/>
      <c r="CC175" s="481"/>
      <c r="CD175" s="499"/>
      <c r="CE175" s="499"/>
      <c r="CF175" s="526"/>
      <c r="CG175" s="481"/>
      <c r="CH175" s="499"/>
      <c r="CI175" s="499"/>
      <c r="CJ175" s="526"/>
      <c r="CK175" s="481"/>
      <c r="CL175" s="499"/>
      <c r="CM175" s="499"/>
      <c r="CN175" s="526"/>
      <c r="CO175" s="481"/>
      <c r="CP175" s="499"/>
      <c r="CQ175" s="499"/>
      <c r="CR175" s="516"/>
      <c r="CS175" s="481"/>
      <c r="CT175" s="499"/>
      <c r="CU175" s="499"/>
      <c r="CV175" s="516"/>
      <c r="CW175" s="481"/>
      <c r="CX175" s="499"/>
      <c r="CY175" s="499"/>
      <c r="CZ175" s="516"/>
      <c r="DA175" s="481"/>
      <c r="DB175" s="499"/>
      <c r="DC175" s="499"/>
      <c r="DD175" s="526"/>
      <c r="DE175" s="481"/>
      <c r="DF175" s="494"/>
      <c r="DG175" s="494"/>
    </row>
    <row r="176" spans="1:109" ht="12.75">
      <c r="A176" s="504">
        <v>162</v>
      </c>
      <c r="B176" s="505" t="s">
        <v>345</v>
      </c>
      <c r="C176" s="371" t="s">
        <v>10</v>
      </c>
      <c r="D176" s="371" t="s">
        <v>19</v>
      </c>
      <c r="F176" s="190">
        <v>1970</v>
      </c>
      <c r="G176" s="506">
        <f aca="true" t="shared" si="8" ref="G176:G207">H176</f>
        <v>545.111904420397</v>
      </c>
      <c r="H176" s="507">
        <f t="shared" si="6"/>
        <v>545.111904420397</v>
      </c>
      <c r="I176" s="508">
        <v>3</v>
      </c>
      <c r="J176" s="524"/>
      <c r="K176" s="499"/>
      <c r="M176" s="491"/>
      <c r="N176" s="524"/>
      <c r="O176" s="499"/>
      <c r="P176" s="516"/>
      <c r="Q176" s="481"/>
      <c r="R176" s="524"/>
      <c r="S176" s="499"/>
      <c r="U176" s="481"/>
      <c r="V176" s="524"/>
      <c r="W176" s="499"/>
      <c r="X176" s="516"/>
      <c r="Y176" s="481"/>
      <c r="Z176" s="524"/>
      <c r="AA176" s="499"/>
      <c r="AB176" s="516"/>
      <c r="AC176" s="481"/>
      <c r="AD176" s="524"/>
      <c r="AE176" s="524"/>
      <c r="AF176" s="516"/>
      <c r="AG176" s="491"/>
      <c r="AH176" s="524"/>
      <c r="AI176" s="537"/>
      <c r="AJ176" s="516"/>
      <c r="AK176" s="481"/>
      <c r="AL176" s="524"/>
      <c r="AM176" s="537"/>
      <c r="AN176" s="526"/>
      <c r="AO176" s="481"/>
      <c r="AP176" s="524"/>
      <c r="AQ176" s="499"/>
      <c r="AR176" s="498"/>
      <c r="AS176" s="481"/>
      <c r="AT176" s="499"/>
      <c r="AU176" s="499"/>
      <c r="AV176" s="526"/>
      <c r="AW176" s="481"/>
      <c r="AX176" s="524"/>
      <c r="AY176" s="524"/>
      <c r="AZ176" s="516"/>
      <c r="BA176" s="515"/>
      <c r="BB176" s="499"/>
      <c r="BC176" s="499"/>
      <c r="BD176" s="516"/>
      <c r="BE176" s="481"/>
      <c r="BF176" s="499"/>
      <c r="BG176" s="499"/>
      <c r="BH176" s="526"/>
      <c r="BI176" s="481"/>
      <c r="BJ176" s="509"/>
      <c r="BK176" s="509"/>
      <c r="BL176" s="520"/>
      <c r="BM176" s="515"/>
      <c r="BN176" s="509"/>
      <c r="BO176" s="509"/>
      <c r="BP176" s="520"/>
      <c r="BQ176" s="515"/>
      <c r="BR176" s="509"/>
      <c r="BS176" s="509"/>
      <c r="BT176" s="520"/>
      <c r="BU176" s="515"/>
      <c r="BV176" s="499"/>
      <c r="BW176" s="499"/>
      <c r="BX176" s="516"/>
      <c r="BY176" s="481"/>
      <c r="BZ176" s="499"/>
      <c r="CA176" s="499"/>
      <c r="CB176" s="526"/>
      <c r="CC176" s="481"/>
      <c r="CD176" s="509" t="s">
        <v>292</v>
      </c>
      <c r="CE176" s="509" t="s">
        <v>1</v>
      </c>
      <c r="CF176" s="513">
        <v>0.07181712962962962</v>
      </c>
      <c r="CG176" s="481">
        <v>10</v>
      </c>
      <c r="CH176" s="499"/>
      <c r="CI176" s="499"/>
      <c r="CJ176" s="516"/>
      <c r="CK176" s="481"/>
      <c r="CL176" s="499"/>
      <c r="CM176" s="499"/>
      <c r="CN176" s="516"/>
      <c r="CO176" s="481"/>
      <c r="CP176" s="509"/>
      <c r="CQ176" s="509"/>
      <c r="CR176" s="526"/>
      <c r="CS176" s="481"/>
      <c r="CT176" s="499"/>
      <c r="CU176" s="499"/>
      <c r="CV176" s="526"/>
      <c r="CW176" s="481"/>
      <c r="CX176" s="499" t="s">
        <v>443</v>
      </c>
      <c r="CY176" s="499" t="s">
        <v>1</v>
      </c>
      <c r="CZ176" s="526">
        <v>0.09268518518518519</v>
      </c>
      <c r="DA176" s="481">
        <v>215.6862745098036</v>
      </c>
      <c r="DB176" s="499" t="s">
        <v>443</v>
      </c>
      <c r="DC176" s="499" t="s">
        <v>1</v>
      </c>
      <c r="DD176" s="526">
        <v>0.07179398148148149</v>
      </c>
      <c r="DE176" s="481">
        <v>319.42562991059333</v>
      </c>
    </row>
    <row r="177" spans="1:109" ht="12.75">
      <c r="A177" s="504">
        <v>163</v>
      </c>
      <c r="B177" s="505" t="s">
        <v>222</v>
      </c>
      <c r="C177" s="371" t="s">
        <v>10</v>
      </c>
      <c r="D177" s="371" t="s">
        <v>234</v>
      </c>
      <c r="F177" s="548">
        <v>1995</v>
      </c>
      <c r="G177" s="506">
        <f t="shared" si="8"/>
        <v>523.2018561484923</v>
      </c>
      <c r="H177" s="507">
        <f t="shared" si="6"/>
        <v>523.2018561484923</v>
      </c>
      <c r="I177" s="508">
        <v>2</v>
      </c>
      <c r="J177" s="524"/>
      <c r="K177" s="499"/>
      <c r="M177" s="491"/>
      <c r="N177" s="524"/>
      <c r="O177" s="499"/>
      <c r="P177" s="516"/>
      <c r="Q177" s="481"/>
      <c r="R177" s="524"/>
      <c r="S177" s="499"/>
      <c r="T177" s="516"/>
      <c r="U177" s="481"/>
      <c r="V177" s="524"/>
      <c r="W177" s="499"/>
      <c r="X177" s="516"/>
      <c r="Y177" s="481"/>
      <c r="Z177" s="509"/>
      <c r="AA177" s="509"/>
      <c r="AB177" s="520"/>
      <c r="AC177" s="481"/>
      <c r="AD177" s="509"/>
      <c r="AE177" s="509"/>
      <c r="AF177" s="520"/>
      <c r="AG177" s="481"/>
      <c r="AH177" s="509"/>
      <c r="AI177" s="509"/>
      <c r="AJ177" s="520"/>
      <c r="AK177" s="481"/>
      <c r="AL177" s="509" t="s">
        <v>625</v>
      </c>
      <c r="AM177" s="509" t="s">
        <v>1</v>
      </c>
      <c r="AN177" s="518" t="s">
        <v>358</v>
      </c>
      <c r="AO177" s="481">
        <v>0</v>
      </c>
      <c r="AP177" s="509" t="s">
        <v>625</v>
      </c>
      <c r="AQ177" s="509" t="s">
        <v>1</v>
      </c>
      <c r="AR177" s="513">
        <v>0.030416666666666665</v>
      </c>
      <c r="AS177" s="481">
        <v>523.2018561484923</v>
      </c>
      <c r="AT177" s="524"/>
      <c r="AU177" s="524"/>
      <c r="AV177" s="526"/>
      <c r="AW177" s="481"/>
      <c r="AX177" s="524"/>
      <c r="AY177" s="524"/>
      <c r="AZ177" s="526"/>
      <c r="BA177" s="481"/>
      <c r="BB177" s="524"/>
      <c r="BC177" s="524"/>
      <c r="BD177" s="516"/>
      <c r="BE177" s="481"/>
      <c r="BF177" s="499"/>
      <c r="BG177" s="499"/>
      <c r="BH177" s="516"/>
      <c r="BI177" s="481"/>
      <c r="BJ177" s="499"/>
      <c r="BK177" s="499"/>
      <c r="BL177" s="516"/>
      <c r="BM177" s="481"/>
      <c r="BN177" s="499"/>
      <c r="BO177" s="499"/>
      <c r="BP177" s="516"/>
      <c r="BQ177" s="481"/>
      <c r="BR177" s="499"/>
      <c r="BS177" s="499"/>
      <c r="BT177" s="498"/>
      <c r="BU177" s="481"/>
      <c r="BV177" s="499"/>
      <c r="BW177" s="499"/>
      <c r="BX177" s="516"/>
      <c r="BY177" s="481"/>
      <c r="BZ177" s="499"/>
      <c r="CA177" s="499"/>
      <c r="CB177" s="516"/>
      <c r="CC177" s="481"/>
      <c r="CD177" s="499"/>
      <c r="CE177" s="499"/>
      <c r="CF177" s="526"/>
      <c r="CG177" s="481"/>
      <c r="CH177" s="509"/>
      <c r="CI177" s="509"/>
      <c r="CJ177" s="520"/>
      <c r="CK177" s="515"/>
      <c r="CL177" s="509"/>
      <c r="CM177" s="509"/>
      <c r="CN177" s="520"/>
      <c r="CO177" s="515"/>
      <c r="CP177" s="509"/>
      <c r="CQ177" s="509"/>
      <c r="CR177" s="526"/>
      <c r="CS177" s="481"/>
      <c r="CT177" s="499"/>
      <c r="CU177" s="499"/>
      <c r="CV177" s="526"/>
      <c r="CW177" s="481"/>
      <c r="CX177" s="499"/>
      <c r="CY177" s="499"/>
      <c r="CZ177" s="526"/>
      <c r="DA177" s="481"/>
      <c r="DB177" s="499"/>
      <c r="DC177" s="499"/>
      <c r="DD177" s="516"/>
      <c r="DE177" s="481"/>
    </row>
    <row r="178" spans="1:109" ht="12.75">
      <c r="A178" s="504">
        <v>164</v>
      </c>
      <c r="B178" s="505" t="s">
        <v>217</v>
      </c>
      <c r="C178" s="371" t="s">
        <v>10</v>
      </c>
      <c r="D178" s="371" t="s">
        <v>69</v>
      </c>
      <c r="E178" s="495" t="s">
        <v>359</v>
      </c>
      <c r="F178" s="548">
        <v>2000</v>
      </c>
      <c r="G178" s="506">
        <f t="shared" si="8"/>
        <v>517.2643253234752</v>
      </c>
      <c r="H178" s="507">
        <f t="shared" si="6"/>
        <v>517.2643253234752</v>
      </c>
      <c r="I178" s="508">
        <v>2</v>
      </c>
      <c r="J178" s="524"/>
      <c r="K178" s="499"/>
      <c r="L178" s="516"/>
      <c r="M178" s="481"/>
      <c r="N178" s="524"/>
      <c r="O178" s="499"/>
      <c r="P178" s="516"/>
      <c r="Q178" s="481"/>
      <c r="R178" s="524"/>
      <c r="S178" s="499"/>
      <c r="U178" s="491"/>
      <c r="V178" s="524"/>
      <c r="W178" s="499"/>
      <c r="Y178" s="491"/>
      <c r="Z178" s="509"/>
      <c r="AA178" s="509"/>
      <c r="AB178" s="520"/>
      <c r="AC178" s="481"/>
      <c r="AD178" s="509"/>
      <c r="AE178" s="509"/>
      <c r="AF178" s="513"/>
      <c r="AG178" s="481"/>
      <c r="AH178" s="509"/>
      <c r="AI178" s="509"/>
      <c r="AJ178" s="501"/>
      <c r="AK178" s="481"/>
      <c r="AL178" s="509" t="s">
        <v>649</v>
      </c>
      <c r="AM178" s="509" t="s">
        <v>158</v>
      </c>
      <c r="AN178" s="501" t="s">
        <v>358</v>
      </c>
      <c r="AO178" s="481">
        <v>0</v>
      </c>
      <c r="AP178" s="509" t="s">
        <v>649</v>
      </c>
      <c r="AQ178" s="509" t="s">
        <v>2</v>
      </c>
      <c r="AR178" s="513">
        <v>0.02652777777777778</v>
      </c>
      <c r="AS178" s="481">
        <v>517.2643253234752</v>
      </c>
      <c r="AT178" s="524"/>
      <c r="AU178" s="524"/>
      <c r="AV178" s="526"/>
      <c r="AW178" s="481"/>
      <c r="AX178" s="524"/>
      <c r="AY178" s="524"/>
      <c r="AZ178" s="526"/>
      <c r="BA178" s="481"/>
      <c r="BB178" s="524"/>
      <c r="BC178" s="524"/>
      <c r="BD178" s="516"/>
      <c r="BE178" s="481"/>
      <c r="BF178" s="499"/>
      <c r="BG178" s="499"/>
      <c r="BH178" s="526"/>
      <c r="BI178" s="481"/>
      <c r="BJ178" s="499"/>
      <c r="BK178" s="499"/>
      <c r="BL178" s="516"/>
      <c r="BM178" s="491"/>
      <c r="BN178" s="499"/>
      <c r="BO178" s="499"/>
      <c r="BP178" s="526"/>
      <c r="BQ178" s="481"/>
      <c r="BR178" s="499"/>
      <c r="BS178" s="499"/>
      <c r="BT178" s="526"/>
      <c r="BU178" s="481"/>
      <c r="BV178" s="499"/>
      <c r="BW178" s="499"/>
      <c r="BX178" s="526"/>
      <c r="BY178" s="481"/>
      <c r="BZ178" s="499"/>
      <c r="CA178" s="499"/>
      <c r="CB178" s="526"/>
      <c r="CC178" s="481"/>
      <c r="CD178" s="499"/>
      <c r="CE178" s="499"/>
      <c r="CF178" s="526"/>
      <c r="CG178" s="481"/>
      <c r="CH178" s="499"/>
      <c r="CI178" s="499"/>
      <c r="CJ178" s="516"/>
      <c r="CK178" s="481"/>
      <c r="CL178" s="499"/>
      <c r="CM178" s="499"/>
      <c r="CN178" s="516"/>
      <c r="CO178" s="481"/>
      <c r="CP178" s="509"/>
      <c r="CQ178" s="509"/>
      <c r="CR178" s="516"/>
      <c r="CS178" s="481"/>
      <c r="CT178" s="499"/>
      <c r="CU178" s="499"/>
      <c r="CV178" s="516"/>
      <c r="CW178" s="481"/>
      <c r="CX178" s="499"/>
      <c r="CY178" s="499"/>
      <c r="CZ178" s="526"/>
      <c r="DA178" s="481"/>
      <c r="DB178" s="499"/>
      <c r="DC178" s="499"/>
      <c r="DD178" s="516"/>
      <c r="DE178" s="481"/>
    </row>
    <row r="179" spans="1:109" ht="12.75">
      <c r="A179" s="504">
        <v>165</v>
      </c>
      <c r="B179" s="522" t="s">
        <v>545</v>
      </c>
      <c r="C179" s="371" t="s">
        <v>10</v>
      </c>
      <c r="D179" s="371" t="s">
        <v>546</v>
      </c>
      <c r="F179" s="548"/>
      <c r="G179" s="506">
        <f t="shared" si="8"/>
        <v>503.8596491228072</v>
      </c>
      <c r="H179" s="507">
        <f t="shared" si="6"/>
        <v>503.8596491228072</v>
      </c>
      <c r="I179" s="508">
        <v>1</v>
      </c>
      <c r="J179" s="509" t="s">
        <v>550</v>
      </c>
      <c r="K179" s="509" t="s">
        <v>2</v>
      </c>
      <c r="L179" s="513">
        <v>0.045196759259259256</v>
      </c>
      <c r="M179" s="481">
        <v>503.8596491228072</v>
      </c>
      <c r="N179" s="509"/>
      <c r="O179" s="509"/>
      <c r="P179" s="509"/>
      <c r="Q179" s="481"/>
      <c r="R179" s="524"/>
      <c r="S179" s="499"/>
      <c r="T179" s="516"/>
      <c r="U179" s="481"/>
      <c r="V179" s="524"/>
      <c r="W179" s="499"/>
      <c r="Y179" s="481"/>
      <c r="Z179" s="524"/>
      <c r="AA179" s="499"/>
      <c r="AC179" s="481"/>
      <c r="AD179" s="524"/>
      <c r="AE179" s="524"/>
      <c r="AG179" s="491"/>
      <c r="AH179" s="524"/>
      <c r="AI179" s="524"/>
      <c r="AK179" s="481"/>
      <c r="AL179" s="524"/>
      <c r="AM179" s="537"/>
      <c r="AN179" s="516"/>
      <c r="AO179" s="481"/>
      <c r="AP179" s="524"/>
      <c r="AQ179" s="468"/>
      <c r="AR179" s="516"/>
      <c r="AS179" s="481"/>
      <c r="AT179" s="509"/>
      <c r="AU179" s="509"/>
      <c r="AW179" s="502"/>
      <c r="AX179" s="509"/>
      <c r="AY179" s="509"/>
      <c r="BA179" s="502"/>
      <c r="BB179" s="499"/>
      <c r="BC179" s="499"/>
      <c r="BD179" s="498"/>
      <c r="BE179" s="491"/>
      <c r="BF179" s="499"/>
      <c r="BG179" s="499"/>
      <c r="BH179" s="526"/>
      <c r="BI179" s="481"/>
      <c r="BJ179" s="499"/>
      <c r="BK179" s="499"/>
      <c r="BL179" s="516"/>
      <c r="BM179" s="481"/>
      <c r="BN179" s="499"/>
      <c r="BO179" s="499"/>
      <c r="BP179" s="526"/>
      <c r="BQ179" s="481"/>
      <c r="BR179" s="499"/>
      <c r="BS179" s="499"/>
      <c r="BT179" s="526"/>
      <c r="BU179" s="481"/>
      <c r="BV179" s="499"/>
      <c r="BW179" s="499"/>
      <c r="BX179" s="516"/>
      <c r="BY179" s="481"/>
      <c r="BZ179" s="499"/>
      <c r="CA179" s="499"/>
      <c r="CB179" s="526"/>
      <c r="CC179" s="481"/>
      <c r="CD179" s="499"/>
      <c r="CE179" s="499"/>
      <c r="CF179" s="526"/>
      <c r="CG179" s="481"/>
      <c r="CH179" s="499"/>
      <c r="CI179" s="499"/>
      <c r="CJ179" s="516"/>
      <c r="CK179" s="481"/>
      <c r="CL179" s="499"/>
      <c r="CM179" s="499"/>
      <c r="CN179" s="516"/>
      <c r="CO179" s="481"/>
      <c r="CP179" s="499"/>
      <c r="CQ179" s="499"/>
      <c r="CR179" s="526"/>
      <c r="CS179" s="481"/>
      <c r="CT179" s="499"/>
      <c r="CU179" s="499"/>
      <c r="CV179" s="526"/>
      <c r="CW179" s="481"/>
      <c r="CX179" s="499"/>
      <c r="CY179" s="499"/>
      <c r="CZ179" s="526"/>
      <c r="DA179" s="481"/>
      <c r="DB179" s="499"/>
      <c r="DC179" s="499"/>
      <c r="DD179" s="526"/>
      <c r="DE179" s="481"/>
    </row>
    <row r="180" spans="1:109" ht="12.75">
      <c r="A180" s="504">
        <v>166</v>
      </c>
      <c r="B180" s="522" t="s">
        <v>801</v>
      </c>
      <c r="C180" s="371" t="s">
        <v>10</v>
      </c>
      <c r="D180" s="527" t="s">
        <v>163</v>
      </c>
      <c r="E180" s="528"/>
      <c r="F180" s="548">
        <v>1968</v>
      </c>
      <c r="G180" s="506">
        <f t="shared" si="8"/>
        <v>473.66548042704585</v>
      </c>
      <c r="H180" s="507">
        <f t="shared" si="6"/>
        <v>473.66548042704585</v>
      </c>
      <c r="I180" s="508">
        <v>1</v>
      </c>
      <c r="J180" s="524"/>
      <c r="K180" s="499"/>
      <c r="M180" s="491"/>
      <c r="N180" s="524"/>
      <c r="O180" s="499"/>
      <c r="P180" s="516"/>
      <c r="Q180" s="491"/>
      <c r="R180" s="524"/>
      <c r="S180" s="499"/>
      <c r="U180" s="491"/>
      <c r="V180" s="524"/>
      <c r="W180" s="499"/>
      <c r="Y180" s="491"/>
      <c r="Z180" s="524"/>
      <c r="AA180" s="499"/>
      <c r="AC180" s="491"/>
      <c r="AD180" s="524"/>
      <c r="AE180" s="524"/>
      <c r="AG180" s="491"/>
      <c r="AH180" s="524"/>
      <c r="AI180" s="524"/>
      <c r="AJ180" s="516"/>
      <c r="AK180" s="491"/>
      <c r="AL180" s="524"/>
      <c r="AM180" s="524"/>
      <c r="AO180" s="491"/>
      <c r="AP180" s="541"/>
      <c r="AQ180" s="509"/>
      <c r="AS180" s="502"/>
      <c r="AT180" s="509"/>
      <c r="AU180" s="509"/>
      <c r="AW180" s="502"/>
      <c r="AX180" s="499"/>
      <c r="AY180" s="499"/>
      <c r="AZ180" s="516"/>
      <c r="BA180" s="502"/>
      <c r="BB180" s="499"/>
      <c r="BC180" s="499"/>
      <c r="BD180" s="498"/>
      <c r="BE180" s="491"/>
      <c r="BF180" s="499"/>
      <c r="BG180" s="499"/>
      <c r="BH180" s="498"/>
      <c r="BI180" s="491"/>
      <c r="BJ180" s="499"/>
      <c r="BK180" s="499"/>
      <c r="BL180" s="516"/>
      <c r="BM180" s="502"/>
      <c r="BN180" s="509"/>
      <c r="BO180" s="509"/>
      <c r="BP180" s="501"/>
      <c r="BQ180" s="502"/>
      <c r="BR180" s="509"/>
      <c r="BS180" s="509"/>
      <c r="BT180" s="501"/>
      <c r="BU180" s="502"/>
      <c r="BV180" s="509"/>
      <c r="BW180" s="509"/>
      <c r="BX180" s="520"/>
      <c r="BY180" s="515"/>
      <c r="BZ180" s="499"/>
      <c r="CA180" s="499"/>
      <c r="CB180" s="516"/>
      <c r="CC180" s="481"/>
      <c r="CD180" s="509" t="s">
        <v>292</v>
      </c>
      <c r="CE180" s="509" t="s">
        <v>1</v>
      </c>
      <c r="CF180" s="513">
        <v>0.05614583333333334</v>
      </c>
      <c r="CG180" s="481">
        <v>473.66548042704585</v>
      </c>
      <c r="CH180" s="499"/>
      <c r="CI180" s="499"/>
      <c r="CJ180" s="526"/>
      <c r="CK180" s="481"/>
      <c r="CL180" s="499"/>
      <c r="CM180" s="499"/>
      <c r="CN180" s="526"/>
      <c r="CO180" s="481"/>
      <c r="CP180" s="499"/>
      <c r="CQ180" s="499"/>
      <c r="CR180" s="526"/>
      <c r="CS180" s="481"/>
      <c r="CT180" s="499"/>
      <c r="CU180" s="499"/>
      <c r="CV180" s="526"/>
      <c r="CW180" s="481"/>
      <c r="CX180" s="499"/>
      <c r="CY180" s="499"/>
      <c r="CZ180" s="516"/>
      <c r="DA180" s="481"/>
      <c r="DB180" s="499"/>
      <c r="DC180" s="499"/>
      <c r="DD180" s="526"/>
      <c r="DE180" s="481"/>
    </row>
    <row r="181" spans="1:109" ht="12.75">
      <c r="A181" s="504">
        <v>167</v>
      </c>
      <c r="B181" s="522" t="s">
        <v>813</v>
      </c>
      <c r="C181" s="371" t="s">
        <v>10</v>
      </c>
      <c r="D181" s="527" t="s">
        <v>21</v>
      </c>
      <c r="E181" s="495" t="s">
        <v>359</v>
      </c>
      <c r="F181" s="548">
        <v>1999</v>
      </c>
      <c r="G181" s="506">
        <f t="shared" si="8"/>
        <v>425.98179453836156</v>
      </c>
      <c r="H181" s="507">
        <f t="shared" si="6"/>
        <v>425.98179453836156</v>
      </c>
      <c r="I181" s="508">
        <v>1</v>
      </c>
      <c r="J181" s="524"/>
      <c r="K181" s="499"/>
      <c r="M181" s="491"/>
      <c r="N181" s="524"/>
      <c r="O181" s="499"/>
      <c r="P181" s="516"/>
      <c r="Q181" s="491"/>
      <c r="R181" s="524"/>
      <c r="S181" s="499"/>
      <c r="U181" s="491"/>
      <c r="V181" s="524"/>
      <c r="W181" s="499"/>
      <c r="Y181" s="491"/>
      <c r="Z181" s="524"/>
      <c r="AA181" s="499"/>
      <c r="AC181" s="491"/>
      <c r="AD181" s="524"/>
      <c r="AE181" s="524"/>
      <c r="AG181" s="491"/>
      <c r="AH181" s="524"/>
      <c r="AI181" s="524"/>
      <c r="AJ181" s="516"/>
      <c r="AK181" s="491"/>
      <c r="AL181" s="524"/>
      <c r="AM181" s="524"/>
      <c r="AO181" s="491"/>
      <c r="AP181" s="541"/>
      <c r="AQ181" s="509"/>
      <c r="AS181" s="502"/>
      <c r="AT181" s="509"/>
      <c r="AU181" s="509"/>
      <c r="AW181" s="502"/>
      <c r="AX181" s="499"/>
      <c r="AY181" s="499"/>
      <c r="AZ181" s="516"/>
      <c r="BA181" s="502"/>
      <c r="BB181" s="499"/>
      <c r="BC181" s="499"/>
      <c r="BD181" s="498"/>
      <c r="BE181" s="491"/>
      <c r="BF181" s="499"/>
      <c r="BG181" s="499"/>
      <c r="BH181" s="498"/>
      <c r="BI181" s="491"/>
      <c r="BJ181" s="499"/>
      <c r="BK181" s="499"/>
      <c r="BL181" s="516"/>
      <c r="BM181" s="502"/>
      <c r="BN181" s="509"/>
      <c r="BO181" s="509"/>
      <c r="BP181" s="501"/>
      <c r="BQ181" s="502"/>
      <c r="BR181" s="509"/>
      <c r="BS181" s="509"/>
      <c r="BT181" s="501"/>
      <c r="BU181" s="502"/>
      <c r="BV181" s="509"/>
      <c r="BW181" s="509"/>
      <c r="BX181" s="520"/>
      <c r="BY181" s="515"/>
      <c r="BZ181" s="499"/>
      <c r="CA181" s="499"/>
      <c r="CB181" s="516"/>
      <c r="CC181" s="481"/>
      <c r="CD181" s="509" t="s">
        <v>649</v>
      </c>
      <c r="CE181" s="509" t="s">
        <v>2</v>
      </c>
      <c r="CF181" s="513">
        <v>0.053969907407407404</v>
      </c>
      <c r="CG181" s="481">
        <v>425.98179453836156</v>
      </c>
      <c r="CH181" s="499"/>
      <c r="CI181" s="499"/>
      <c r="CJ181" s="526"/>
      <c r="CK181" s="481"/>
      <c r="CL181" s="499"/>
      <c r="CM181" s="499"/>
      <c r="CN181" s="526"/>
      <c r="CO181" s="481"/>
      <c r="CP181" s="499"/>
      <c r="CQ181" s="499"/>
      <c r="CR181" s="516"/>
      <c r="CS181" s="481"/>
      <c r="CT181" s="499"/>
      <c r="CU181" s="499"/>
      <c r="CV181" s="516"/>
      <c r="CW181" s="481"/>
      <c r="CX181" s="499"/>
      <c r="CY181" s="499"/>
      <c r="CZ181" s="516"/>
      <c r="DA181" s="481"/>
      <c r="DB181" s="509"/>
      <c r="DC181" s="509"/>
      <c r="DD181" s="520"/>
      <c r="DE181" s="515"/>
    </row>
    <row r="182" spans="1:109" ht="12.75">
      <c r="A182" s="504">
        <v>167</v>
      </c>
      <c r="B182" s="519" t="s">
        <v>802</v>
      </c>
      <c r="C182" s="371" t="s">
        <v>10</v>
      </c>
      <c r="F182" s="549"/>
      <c r="G182" s="506">
        <f t="shared" si="8"/>
        <v>425.9786476868326</v>
      </c>
      <c r="H182" s="507">
        <f t="shared" si="6"/>
        <v>425.9786476868326</v>
      </c>
      <c r="I182" s="508">
        <v>1</v>
      </c>
      <c r="J182" s="524"/>
      <c r="K182" s="499"/>
      <c r="M182" s="481"/>
      <c r="N182" s="524"/>
      <c r="O182" s="499"/>
      <c r="P182" s="516"/>
      <c r="Q182" s="481"/>
      <c r="R182" s="524"/>
      <c r="S182" s="499"/>
      <c r="T182" s="516"/>
      <c r="U182" s="491"/>
      <c r="V182" s="524"/>
      <c r="W182" s="499"/>
      <c r="X182" s="516"/>
      <c r="Y182" s="481"/>
      <c r="Z182" s="524"/>
      <c r="AA182" s="499"/>
      <c r="AB182" s="516"/>
      <c r="AC182" s="481"/>
      <c r="AD182" s="524"/>
      <c r="AE182" s="524"/>
      <c r="AF182" s="516"/>
      <c r="AG182" s="491"/>
      <c r="AH182" s="524"/>
      <c r="AI182" s="524"/>
      <c r="AK182" s="481"/>
      <c r="AL182" s="524"/>
      <c r="AM182" s="537"/>
      <c r="AN182" s="526"/>
      <c r="AO182" s="481"/>
      <c r="AP182" s="524"/>
      <c r="AQ182" s="499"/>
      <c r="AR182" s="498"/>
      <c r="AS182" s="481"/>
      <c r="AT182" s="499"/>
      <c r="AU182" s="499"/>
      <c r="AV182" s="526"/>
      <c r="AW182" s="481"/>
      <c r="AX182" s="509"/>
      <c r="AY182" s="509"/>
      <c r="AZ182" s="513"/>
      <c r="BA182" s="515"/>
      <c r="BB182" s="499"/>
      <c r="BC182" s="499"/>
      <c r="BD182" s="516"/>
      <c r="BE182" s="481"/>
      <c r="BF182" s="509"/>
      <c r="BG182" s="509"/>
      <c r="BH182" s="513"/>
      <c r="BI182" s="481"/>
      <c r="BJ182" s="509"/>
      <c r="BK182" s="509"/>
      <c r="BL182" s="520"/>
      <c r="BM182" s="515"/>
      <c r="BN182" s="509"/>
      <c r="BO182" s="509"/>
      <c r="BP182" s="520"/>
      <c r="BQ182" s="515"/>
      <c r="BR182" s="509"/>
      <c r="BS182" s="509"/>
      <c r="BT182" s="520"/>
      <c r="BU182" s="515"/>
      <c r="BV182" s="499"/>
      <c r="BW182" s="499"/>
      <c r="BX182" s="516"/>
      <c r="BY182" s="481"/>
      <c r="BZ182" s="499"/>
      <c r="CA182" s="499"/>
      <c r="CB182" s="498"/>
      <c r="CC182" s="481"/>
      <c r="CD182" s="509" t="s">
        <v>292</v>
      </c>
      <c r="CE182" s="509" t="s">
        <v>1</v>
      </c>
      <c r="CF182" s="513">
        <v>0.05769675925925926</v>
      </c>
      <c r="CG182" s="481">
        <v>425.9786476868326</v>
      </c>
      <c r="CH182" s="499"/>
      <c r="CI182" s="499"/>
      <c r="CJ182" s="526"/>
      <c r="CK182" s="481"/>
      <c r="CL182" s="499"/>
      <c r="CM182" s="499"/>
      <c r="CN182" s="526"/>
      <c r="CO182" s="481"/>
      <c r="CP182" s="499"/>
      <c r="CQ182" s="499"/>
      <c r="CR182" s="526"/>
      <c r="CS182" s="481"/>
      <c r="CT182" s="499"/>
      <c r="CU182" s="499"/>
      <c r="CV182" s="526"/>
      <c r="CW182" s="481"/>
      <c r="CX182" s="499"/>
      <c r="CY182" s="499"/>
      <c r="CZ182" s="526"/>
      <c r="DA182" s="481"/>
      <c r="DB182" s="499"/>
      <c r="DC182" s="499"/>
      <c r="DD182" s="516"/>
      <c r="DE182" s="481"/>
    </row>
    <row r="183" spans="1:111" ht="12.75">
      <c r="A183" s="504">
        <v>169</v>
      </c>
      <c r="B183" s="522" t="s">
        <v>745</v>
      </c>
      <c r="C183" s="371" t="s">
        <v>10</v>
      </c>
      <c r="F183" s="548"/>
      <c r="G183" s="506">
        <f t="shared" si="8"/>
        <v>393.9059967585088</v>
      </c>
      <c r="H183" s="507">
        <f t="shared" si="6"/>
        <v>393.9059967585088</v>
      </c>
      <c r="I183" s="508">
        <v>1</v>
      </c>
      <c r="J183" s="524"/>
      <c r="K183" s="499"/>
      <c r="M183" s="491"/>
      <c r="N183" s="524"/>
      <c r="O183" s="499"/>
      <c r="Q183" s="481"/>
      <c r="R183" s="524"/>
      <c r="S183" s="499"/>
      <c r="U183" s="491"/>
      <c r="V183" s="524"/>
      <c r="W183" s="499"/>
      <c r="Y183" s="491"/>
      <c r="Z183" s="524"/>
      <c r="AA183" s="499"/>
      <c r="AC183" s="491"/>
      <c r="AD183" s="524"/>
      <c r="AE183" s="524"/>
      <c r="AG183" s="491"/>
      <c r="AH183" s="524"/>
      <c r="AI183" s="524"/>
      <c r="AK183" s="491"/>
      <c r="AL183" s="524"/>
      <c r="AM183" s="524"/>
      <c r="AO183" s="491"/>
      <c r="AP183" s="524"/>
      <c r="AQ183" s="499"/>
      <c r="AR183" s="498"/>
      <c r="AS183" s="491"/>
      <c r="AT183" s="509"/>
      <c r="AU183" s="509"/>
      <c r="AV183" s="509"/>
      <c r="AW183" s="502"/>
      <c r="AX183" s="509"/>
      <c r="AY183" s="509"/>
      <c r="AZ183" s="513"/>
      <c r="BA183" s="540"/>
      <c r="BB183" s="509"/>
      <c r="BC183" s="509"/>
      <c r="BD183" s="513"/>
      <c r="BE183" s="491"/>
      <c r="BF183" s="509"/>
      <c r="BG183" s="509"/>
      <c r="BH183" s="509"/>
      <c r="BI183" s="481"/>
      <c r="BJ183" s="509"/>
      <c r="BK183" s="509"/>
      <c r="BL183" s="509"/>
      <c r="BM183" s="481"/>
      <c r="BN183" s="509" t="s">
        <v>741</v>
      </c>
      <c r="BO183" s="509" t="s">
        <v>158</v>
      </c>
      <c r="BP183" s="513">
        <v>0.051319444444444445</v>
      </c>
      <c r="BQ183" s="481">
        <v>393.9059967585088</v>
      </c>
      <c r="BR183" s="509"/>
      <c r="BS183" s="509"/>
      <c r="BT183" s="509"/>
      <c r="BU183" s="481"/>
      <c r="BV183" s="499"/>
      <c r="BW183" s="499"/>
      <c r="BX183" s="498"/>
      <c r="BY183" s="481"/>
      <c r="BZ183" s="499"/>
      <c r="CA183" s="499"/>
      <c r="CB183" s="498"/>
      <c r="CC183" s="481"/>
      <c r="CD183" s="499"/>
      <c r="CE183" s="499"/>
      <c r="CF183" s="526"/>
      <c r="CG183" s="481"/>
      <c r="CH183" s="509"/>
      <c r="CI183" s="509"/>
      <c r="CJ183" s="520"/>
      <c r="CK183" s="515"/>
      <c r="CL183" s="509"/>
      <c r="CM183" s="509"/>
      <c r="CN183" s="520"/>
      <c r="CO183" s="515"/>
      <c r="CP183" s="499"/>
      <c r="CQ183" s="499"/>
      <c r="CR183" s="526"/>
      <c r="CS183" s="481"/>
      <c r="CT183" s="499"/>
      <c r="CU183" s="499"/>
      <c r="CV183" s="526"/>
      <c r="CW183" s="481"/>
      <c r="CX183" s="499"/>
      <c r="CY183" s="499"/>
      <c r="CZ183" s="526"/>
      <c r="DA183" s="481"/>
      <c r="DB183" s="499"/>
      <c r="DC183" s="499"/>
      <c r="DD183" s="516"/>
      <c r="DE183" s="481"/>
      <c r="DF183" s="494"/>
      <c r="DG183" s="494"/>
    </row>
    <row r="184" spans="1:109" ht="12.75">
      <c r="A184" s="504">
        <v>170</v>
      </c>
      <c r="B184" s="505" t="s">
        <v>344</v>
      </c>
      <c r="C184" s="371" t="s">
        <v>10</v>
      </c>
      <c r="D184" s="371" t="s">
        <v>53</v>
      </c>
      <c r="F184" s="548">
        <v>1983</v>
      </c>
      <c r="G184" s="506">
        <f t="shared" si="8"/>
        <v>383.1590844871431</v>
      </c>
      <c r="H184" s="507">
        <f t="shared" si="6"/>
        <v>383.1590844871431</v>
      </c>
      <c r="I184" s="508">
        <v>1</v>
      </c>
      <c r="J184" s="524"/>
      <c r="K184" s="499"/>
      <c r="M184" s="491"/>
      <c r="N184" s="509" t="s">
        <v>551</v>
      </c>
      <c r="O184" s="509" t="s">
        <v>1</v>
      </c>
      <c r="P184" s="513">
        <v>0.06622685185185186</v>
      </c>
      <c r="Q184" s="481">
        <v>383.1590844871431</v>
      </c>
      <c r="R184" s="524"/>
      <c r="S184" s="499"/>
      <c r="U184" s="491"/>
      <c r="V184" s="524"/>
      <c r="W184" s="499"/>
      <c r="Y184" s="491"/>
      <c r="Z184" s="524"/>
      <c r="AA184" s="499"/>
      <c r="AC184" s="481"/>
      <c r="AD184" s="524"/>
      <c r="AE184" s="524"/>
      <c r="AF184" s="516"/>
      <c r="AG184" s="491"/>
      <c r="AH184" s="524"/>
      <c r="AI184" s="524"/>
      <c r="AJ184" s="516"/>
      <c r="AK184" s="481"/>
      <c r="AL184" s="524"/>
      <c r="AM184" s="537"/>
      <c r="AN184" s="516"/>
      <c r="AO184" s="481"/>
      <c r="AP184" s="524"/>
      <c r="AQ184" s="498"/>
      <c r="AR184" s="535"/>
      <c r="AS184" s="481"/>
      <c r="AT184" s="499"/>
      <c r="AU184" s="499"/>
      <c r="AV184" s="526"/>
      <c r="AW184" s="481"/>
      <c r="AX184" s="499"/>
      <c r="AY184" s="499"/>
      <c r="AZ184" s="526"/>
      <c r="BA184" s="481"/>
      <c r="BB184" s="499"/>
      <c r="BC184" s="499"/>
      <c r="BD184" s="516"/>
      <c r="BE184" s="481"/>
      <c r="BF184" s="499"/>
      <c r="BG184" s="499"/>
      <c r="BH184" s="526"/>
      <c r="BI184" s="481"/>
      <c r="BJ184" s="499"/>
      <c r="BK184" s="499"/>
      <c r="BL184" s="516"/>
      <c r="BM184" s="481"/>
      <c r="BN184" s="499"/>
      <c r="BO184" s="499"/>
      <c r="BP184" s="526"/>
      <c r="BQ184" s="481"/>
      <c r="BR184" s="499"/>
      <c r="BS184" s="499"/>
      <c r="BT184" s="526"/>
      <c r="BU184" s="481"/>
      <c r="BV184" s="499"/>
      <c r="BW184" s="499"/>
      <c r="BX184" s="516"/>
      <c r="BY184" s="481"/>
      <c r="BZ184" s="499"/>
      <c r="CA184" s="499"/>
      <c r="CB184" s="526"/>
      <c r="CC184" s="481"/>
      <c r="CD184" s="499"/>
      <c r="CE184" s="499"/>
      <c r="CF184" s="526"/>
      <c r="CG184" s="481"/>
      <c r="CH184" s="499"/>
      <c r="CI184" s="499"/>
      <c r="CJ184" s="516"/>
      <c r="CK184" s="481"/>
      <c r="CL184" s="499"/>
      <c r="CM184" s="499"/>
      <c r="CN184" s="516"/>
      <c r="CO184" s="481"/>
      <c r="CP184" s="499"/>
      <c r="CQ184" s="499"/>
      <c r="CR184" s="526"/>
      <c r="CS184" s="481"/>
      <c r="CT184" s="499"/>
      <c r="CU184" s="499"/>
      <c r="CV184" s="526"/>
      <c r="CW184" s="481"/>
      <c r="CX184" s="499"/>
      <c r="CY184" s="499"/>
      <c r="CZ184" s="526"/>
      <c r="DA184" s="481"/>
      <c r="DB184" s="499"/>
      <c r="DC184" s="499"/>
      <c r="DD184" s="516"/>
      <c r="DE184" s="481"/>
    </row>
    <row r="185" spans="1:109" ht="12.75">
      <c r="A185" s="504">
        <v>171</v>
      </c>
      <c r="B185" s="522" t="s">
        <v>553</v>
      </c>
      <c r="C185" s="371" t="s">
        <v>131</v>
      </c>
      <c r="F185" s="548"/>
      <c r="G185" s="506">
        <f t="shared" si="8"/>
        <v>363.37948573043246</v>
      </c>
      <c r="H185" s="507">
        <f t="shared" si="6"/>
        <v>363.37948573043246</v>
      </c>
      <c r="I185" s="508">
        <v>1</v>
      </c>
      <c r="J185" s="524"/>
      <c r="K185" s="499"/>
      <c r="L185" s="516"/>
      <c r="M185" s="481"/>
      <c r="N185" s="509" t="s">
        <v>551</v>
      </c>
      <c r="O185" s="509" t="s">
        <v>1</v>
      </c>
      <c r="P185" s="513">
        <v>0.06703703703703703</v>
      </c>
      <c r="Q185" s="481">
        <v>363.37948573043246</v>
      </c>
      <c r="R185" s="524"/>
      <c r="S185" s="499"/>
      <c r="T185" s="516"/>
      <c r="U185" s="481"/>
      <c r="V185" s="524"/>
      <c r="W185" s="499"/>
      <c r="X185" s="516"/>
      <c r="Y185" s="481"/>
      <c r="Z185" s="524"/>
      <c r="AA185" s="499"/>
      <c r="AC185" s="481"/>
      <c r="AD185" s="524"/>
      <c r="AE185" s="537"/>
      <c r="AF185" s="516"/>
      <c r="AG185" s="491"/>
      <c r="AH185" s="524"/>
      <c r="AI185" s="524"/>
      <c r="AK185" s="481"/>
      <c r="AL185" s="524"/>
      <c r="AM185" s="537"/>
      <c r="AN185" s="516"/>
      <c r="AO185" s="481"/>
      <c r="AP185" s="524"/>
      <c r="AQ185" s="498"/>
      <c r="AR185" s="535"/>
      <c r="AS185" s="481"/>
      <c r="AT185" s="499"/>
      <c r="AU185" s="499"/>
      <c r="AV185" s="526"/>
      <c r="AW185" s="481"/>
      <c r="AX185" s="499"/>
      <c r="AY185" s="499"/>
      <c r="AZ185" s="526"/>
      <c r="BA185" s="481"/>
      <c r="BB185" s="499"/>
      <c r="BC185" s="499"/>
      <c r="BD185" s="516"/>
      <c r="BE185" s="481"/>
      <c r="BF185" s="499"/>
      <c r="BG185" s="499"/>
      <c r="BH185" s="526"/>
      <c r="BI185" s="481"/>
      <c r="BJ185" s="499"/>
      <c r="BK185" s="499"/>
      <c r="BL185" s="516"/>
      <c r="BM185" s="481"/>
      <c r="BN185" s="499"/>
      <c r="BO185" s="499"/>
      <c r="BP185" s="526"/>
      <c r="BQ185" s="481"/>
      <c r="BR185" s="499"/>
      <c r="BS185" s="499"/>
      <c r="BT185" s="526"/>
      <c r="BU185" s="481"/>
      <c r="BV185" s="499"/>
      <c r="BW185" s="499"/>
      <c r="BX185" s="516"/>
      <c r="BY185" s="481"/>
      <c r="BZ185" s="499"/>
      <c r="CA185" s="499"/>
      <c r="CB185" s="526"/>
      <c r="CC185" s="481"/>
      <c r="CD185" s="499"/>
      <c r="CE185" s="499"/>
      <c r="CF185" s="526"/>
      <c r="CG185" s="481"/>
      <c r="CH185" s="499"/>
      <c r="CI185" s="499"/>
      <c r="CJ185" s="526"/>
      <c r="CK185" s="481"/>
      <c r="CL185" s="499"/>
      <c r="CM185" s="499"/>
      <c r="CN185" s="526"/>
      <c r="CO185" s="481"/>
      <c r="CP185" s="499"/>
      <c r="CQ185" s="499"/>
      <c r="CR185" s="516"/>
      <c r="CS185" s="481"/>
      <c r="CT185" s="499"/>
      <c r="CU185" s="499"/>
      <c r="CV185" s="516"/>
      <c r="CW185" s="481"/>
      <c r="CX185" s="509"/>
      <c r="CY185" s="509"/>
      <c r="CZ185" s="520"/>
      <c r="DA185" s="515"/>
      <c r="DB185" s="509"/>
      <c r="DC185" s="509"/>
      <c r="DD185" s="520"/>
      <c r="DE185" s="515"/>
    </row>
    <row r="186" spans="1:109" ht="12.75">
      <c r="A186" s="504">
        <v>172</v>
      </c>
      <c r="B186" s="505" t="s">
        <v>48</v>
      </c>
      <c r="C186" s="371" t="s">
        <v>10</v>
      </c>
      <c r="D186" s="371" t="s">
        <v>49</v>
      </c>
      <c r="F186" s="190">
        <v>1988</v>
      </c>
      <c r="G186" s="506">
        <f t="shared" si="8"/>
        <v>354.8042704626335</v>
      </c>
      <c r="H186" s="507">
        <f t="shared" si="6"/>
        <v>354.8042704626335</v>
      </c>
      <c r="I186" s="508">
        <v>1</v>
      </c>
      <c r="J186" s="524"/>
      <c r="K186" s="499"/>
      <c r="M186" s="491"/>
      <c r="N186" s="524"/>
      <c r="O186" s="499"/>
      <c r="Q186" s="491"/>
      <c r="R186" s="524"/>
      <c r="S186" s="499"/>
      <c r="U186" s="491"/>
      <c r="V186" s="524"/>
      <c r="W186" s="499"/>
      <c r="Y186" s="491"/>
      <c r="Z186" s="524"/>
      <c r="AA186" s="499"/>
      <c r="AC186" s="491"/>
      <c r="AD186" s="524"/>
      <c r="AE186" s="524"/>
      <c r="AG186" s="491"/>
      <c r="AH186" s="524"/>
      <c r="AI186" s="524"/>
      <c r="AK186" s="491"/>
      <c r="AL186" s="524"/>
      <c r="AM186" s="524"/>
      <c r="AO186" s="491"/>
      <c r="AP186" s="541"/>
      <c r="AQ186" s="509"/>
      <c r="AS186" s="502"/>
      <c r="AT186" s="509"/>
      <c r="AU186" s="509"/>
      <c r="AW186" s="502"/>
      <c r="AX186" s="509"/>
      <c r="AY186" s="509"/>
      <c r="BA186" s="502"/>
      <c r="BB186" s="499"/>
      <c r="BC186" s="499"/>
      <c r="BD186" s="498"/>
      <c r="BE186" s="491"/>
      <c r="BF186" s="499"/>
      <c r="BG186" s="499"/>
      <c r="BH186" s="498"/>
      <c r="BI186" s="491"/>
      <c r="BJ186" s="509"/>
      <c r="BK186" s="509"/>
      <c r="BL186" s="501"/>
      <c r="BM186" s="502"/>
      <c r="BN186" s="509"/>
      <c r="BO186" s="509"/>
      <c r="BP186" s="501"/>
      <c r="BQ186" s="502"/>
      <c r="BR186" s="509"/>
      <c r="BS186" s="509"/>
      <c r="BT186" s="501"/>
      <c r="BU186" s="502"/>
      <c r="BV186" s="509"/>
      <c r="BW186" s="509"/>
      <c r="BX186" s="520"/>
      <c r="BY186" s="515"/>
      <c r="BZ186" s="509"/>
      <c r="CA186" s="509"/>
      <c r="CB186" s="520"/>
      <c r="CC186" s="481"/>
      <c r="CD186" s="509" t="s">
        <v>292</v>
      </c>
      <c r="CE186" s="509" t="s">
        <v>1</v>
      </c>
      <c r="CF186" s="513">
        <v>0.06001157407407407</v>
      </c>
      <c r="CG186" s="481">
        <v>354.8042704626335</v>
      </c>
      <c r="CH186" s="509"/>
      <c r="CI186" s="509"/>
      <c r="CJ186" s="520"/>
      <c r="CK186" s="515"/>
      <c r="CL186" s="509"/>
      <c r="CM186" s="509"/>
      <c r="CN186" s="520"/>
      <c r="CO186" s="515"/>
      <c r="CP186" s="499"/>
      <c r="CQ186" s="499"/>
      <c r="CR186" s="526"/>
      <c r="CS186" s="481"/>
      <c r="CT186" s="499"/>
      <c r="CU186" s="499"/>
      <c r="CV186" s="526"/>
      <c r="CW186" s="481"/>
      <c r="CX186" s="499"/>
      <c r="CY186" s="499"/>
      <c r="CZ186" s="516"/>
      <c r="DA186" s="481"/>
      <c r="DB186" s="499"/>
      <c r="DC186" s="499"/>
      <c r="DD186" s="516"/>
      <c r="DE186" s="481"/>
    </row>
    <row r="187" spans="1:111" ht="12.75">
      <c r="A187" s="504">
        <v>173</v>
      </c>
      <c r="B187" s="505" t="s">
        <v>817</v>
      </c>
      <c r="C187" s="371" t="s">
        <v>10</v>
      </c>
      <c r="D187" s="527" t="s">
        <v>778</v>
      </c>
      <c r="E187" s="528" t="s">
        <v>360</v>
      </c>
      <c r="F187" s="548">
        <v>1969</v>
      </c>
      <c r="G187" s="506">
        <f t="shared" si="8"/>
        <v>303.1349206349207</v>
      </c>
      <c r="H187" s="507">
        <f t="shared" si="6"/>
        <v>303.1349206349207</v>
      </c>
      <c r="I187" s="508">
        <v>3</v>
      </c>
      <c r="J187" s="524"/>
      <c r="K187" s="499"/>
      <c r="M187" s="491"/>
      <c r="N187" s="524"/>
      <c r="O187" s="499"/>
      <c r="P187" s="516"/>
      <c r="Q187" s="491"/>
      <c r="R187" s="524"/>
      <c r="S187" s="499"/>
      <c r="U187" s="491"/>
      <c r="V187" s="524"/>
      <c r="W187" s="499"/>
      <c r="Y187" s="491"/>
      <c r="Z187" s="524"/>
      <c r="AA187" s="499"/>
      <c r="AC187" s="491"/>
      <c r="AD187" s="524"/>
      <c r="AE187" s="524"/>
      <c r="AG187" s="491"/>
      <c r="AH187" s="524"/>
      <c r="AI187" s="524"/>
      <c r="AJ187" s="516"/>
      <c r="AK187" s="491"/>
      <c r="AL187" s="524"/>
      <c r="AM187" s="524"/>
      <c r="AO187" s="491"/>
      <c r="AP187" s="541"/>
      <c r="AQ187" s="509"/>
      <c r="AS187" s="502"/>
      <c r="AT187" s="509"/>
      <c r="AU187" s="509"/>
      <c r="AW187" s="502"/>
      <c r="AX187" s="499"/>
      <c r="AY187" s="499"/>
      <c r="AZ187" s="516"/>
      <c r="BA187" s="502"/>
      <c r="BB187" s="499"/>
      <c r="BC187" s="499"/>
      <c r="BD187" s="498"/>
      <c r="BE187" s="491"/>
      <c r="BF187" s="499"/>
      <c r="BG187" s="499"/>
      <c r="BH187" s="498"/>
      <c r="BI187" s="491"/>
      <c r="BJ187" s="499"/>
      <c r="BK187" s="499"/>
      <c r="BL187" s="516"/>
      <c r="BM187" s="502"/>
      <c r="BN187" s="509"/>
      <c r="BO187" s="509"/>
      <c r="BP187" s="501"/>
      <c r="BQ187" s="502"/>
      <c r="BR187" s="509"/>
      <c r="BS187" s="509"/>
      <c r="BT187" s="501"/>
      <c r="BU187" s="502"/>
      <c r="BV187" s="509"/>
      <c r="BW187" s="509"/>
      <c r="BX187" s="520"/>
      <c r="BY187" s="515"/>
      <c r="BZ187" s="499"/>
      <c r="CA187" s="499"/>
      <c r="CB187" s="516"/>
      <c r="CC187" s="481"/>
      <c r="CD187" s="509" t="s">
        <v>372</v>
      </c>
      <c r="CE187" s="509" t="s">
        <v>2</v>
      </c>
      <c r="CF187" s="513">
        <v>0.0865162037037037</v>
      </c>
      <c r="CG187" s="481">
        <v>10</v>
      </c>
      <c r="CH187" s="499"/>
      <c r="CI187" s="499"/>
      <c r="CJ187" s="516"/>
      <c r="CK187" s="481"/>
      <c r="CL187" s="499"/>
      <c r="CM187" s="499"/>
      <c r="CN187" s="516"/>
      <c r="CO187" s="481"/>
      <c r="CP187" s="499"/>
      <c r="CQ187" s="499"/>
      <c r="CR187" s="520"/>
      <c r="CS187" s="515"/>
      <c r="CT187" s="509"/>
      <c r="CU187" s="509"/>
      <c r="CV187" s="520"/>
      <c r="CW187" s="515"/>
      <c r="CX187" s="499" t="s">
        <v>396</v>
      </c>
      <c r="CY187" s="499" t="s">
        <v>2</v>
      </c>
      <c r="CZ187" s="526">
        <v>0.07681712962962962</v>
      </c>
      <c r="DA187" s="481">
        <v>283.1349206349207</v>
      </c>
      <c r="DB187" s="499" t="s">
        <v>396</v>
      </c>
      <c r="DC187" s="499" t="s">
        <v>2</v>
      </c>
      <c r="DD187" s="516">
        <v>0.08342592592592592</v>
      </c>
      <c r="DE187" s="481">
        <v>10</v>
      </c>
      <c r="DF187" s="494"/>
      <c r="DG187" s="494"/>
    </row>
    <row r="188" spans="1:109" ht="12.75">
      <c r="A188" s="504">
        <v>174</v>
      </c>
      <c r="B188" s="505" t="s">
        <v>373</v>
      </c>
      <c r="C188" s="371" t="s">
        <v>10</v>
      </c>
      <c r="D188" s="371" t="s">
        <v>83</v>
      </c>
      <c r="E188" s="495" t="s">
        <v>375</v>
      </c>
      <c r="F188" s="190">
        <v>1958</v>
      </c>
      <c r="G188" s="506">
        <f t="shared" si="8"/>
        <v>273.49804941482444</v>
      </c>
      <c r="H188" s="507">
        <f t="shared" si="6"/>
        <v>273.49804941482444</v>
      </c>
      <c r="I188" s="508">
        <v>1</v>
      </c>
      <c r="J188" s="524"/>
      <c r="K188" s="499"/>
      <c r="L188" s="516"/>
      <c r="M188" s="481"/>
      <c r="N188" s="524"/>
      <c r="O188" s="499"/>
      <c r="P188" s="516"/>
      <c r="Q188" s="481"/>
      <c r="R188" s="524"/>
      <c r="S188" s="499"/>
      <c r="T188" s="516"/>
      <c r="U188" s="481"/>
      <c r="V188" s="524"/>
      <c r="W188" s="499"/>
      <c r="X188" s="516"/>
      <c r="Y188" s="481"/>
      <c r="Z188" s="524"/>
      <c r="AA188" s="499"/>
      <c r="AC188" s="481"/>
      <c r="AD188" s="524"/>
      <c r="AE188" s="537"/>
      <c r="AF188" s="516"/>
      <c r="AG188" s="491"/>
      <c r="AH188" s="524"/>
      <c r="AI188" s="524"/>
      <c r="AK188" s="481"/>
      <c r="AL188" s="524"/>
      <c r="AM188" s="537"/>
      <c r="AN188" s="526"/>
      <c r="AO188" s="481"/>
      <c r="AP188" s="524"/>
      <c r="AQ188" s="499"/>
      <c r="AR188" s="498"/>
      <c r="AS188" s="481"/>
      <c r="AT188" s="499"/>
      <c r="AU188" s="499"/>
      <c r="AV188" s="526"/>
      <c r="AW188" s="481"/>
      <c r="AX188" s="524"/>
      <c r="AY188" s="524"/>
      <c r="AZ188" s="516"/>
      <c r="BA188" s="515"/>
      <c r="BB188" s="499"/>
      <c r="BC188" s="499"/>
      <c r="BD188" s="516"/>
      <c r="BE188" s="481"/>
      <c r="BF188" s="499"/>
      <c r="BG188" s="499"/>
      <c r="BH188" s="526"/>
      <c r="BI188" s="481"/>
      <c r="BJ188" s="509"/>
      <c r="BK188" s="509"/>
      <c r="BL188" s="520"/>
      <c r="BM188" s="515"/>
      <c r="BN188" s="509"/>
      <c r="BO188" s="509"/>
      <c r="BP188" s="520"/>
      <c r="BQ188" s="515"/>
      <c r="BR188" s="509"/>
      <c r="BS188" s="509"/>
      <c r="BT188" s="520"/>
      <c r="BU188" s="515"/>
      <c r="BV188" s="499"/>
      <c r="BW188" s="499"/>
      <c r="BX188" s="516"/>
      <c r="BY188" s="481"/>
      <c r="BZ188" s="499"/>
      <c r="CA188" s="499"/>
      <c r="CB188" s="526"/>
      <c r="CC188" s="481"/>
      <c r="CD188" s="509" t="s">
        <v>651</v>
      </c>
      <c r="CE188" s="509" t="s">
        <v>2</v>
      </c>
      <c r="CF188" s="513">
        <v>0.06013888888888889</v>
      </c>
      <c r="CG188" s="481">
        <v>273.49804941482444</v>
      </c>
      <c r="CH188" s="499"/>
      <c r="CI188" s="499"/>
      <c r="CJ188" s="526"/>
      <c r="CK188" s="481"/>
      <c r="CL188" s="499"/>
      <c r="CM188" s="499"/>
      <c r="CN188" s="526"/>
      <c r="CO188" s="481"/>
      <c r="CP188" s="499"/>
      <c r="CQ188" s="499"/>
      <c r="CR188" s="526"/>
      <c r="CS188" s="481"/>
      <c r="CT188" s="499"/>
      <c r="CU188" s="499"/>
      <c r="CV188" s="526"/>
      <c r="CW188" s="481"/>
      <c r="CX188" s="509"/>
      <c r="CY188" s="509"/>
      <c r="CZ188" s="520"/>
      <c r="DA188" s="515"/>
      <c r="DB188" s="499"/>
      <c r="DC188" s="499"/>
      <c r="DD188" s="516"/>
      <c r="DE188" s="481"/>
    </row>
    <row r="189" spans="1:109" ht="12.75">
      <c r="A189" s="504">
        <v>175</v>
      </c>
      <c r="B189" s="505" t="s">
        <v>374</v>
      </c>
      <c r="C189" s="371" t="s">
        <v>10</v>
      </c>
      <c r="D189" s="371" t="s">
        <v>49</v>
      </c>
      <c r="E189" s="495" t="s">
        <v>360</v>
      </c>
      <c r="F189" s="548">
        <v>1971</v>
      </c>
      <c r="G189" s="506">
        <f t="shared" si="8"/>
        <v>256.9050715214564</v>
      </c>
      <c r="H189" s="507">
        <f t="shared" si="6"/>
        <v>256.9050715214564</v>
      </c>
      <c r="I189" s="508">
        <v>1</v>
      </c>
      <c r="J189" s="524"/>
      <c r="K189" s="499"/>
      <c r="M189" s="491"/>
      <c r="N189" s="524"/>
      <c r="O189" s="499"/>
      <c r="Q189" s="491"/>
      <c r="R189" s="524"/>
      <c r="S189" s="499"/>
      <c r="U189" s="491"/>
      <c r="V189" s="524"/>
      <c r="W189" s="499"/>
      <c r="Y189" s="491"/>
      <c r="Z189" s="524"/>
      <c r="AA189" s="499"/>
      <c r="AC189" s="481"/>
      <c r="AD189" s="524"/>
      <c r="AE189" s="524"/>
      <c r="AF189" s="516"/>
      <c r="AG189" s="491"/>
      <c r="AH189" s="524"/>
      <c r="AI189" s="524"/>
      <c r="AK189" s="481"/>
      <c r="AL189" s="524"/>
      <c r="AM189" s="537"/>
      <c r="AN189" s="526"/>
      <c r="AO189" s="481"/>
      <c r="AP189" s="524"/>
      <c r="AQ189" s="499"/>
      <c r="AR189" s="498"/>
      <c r="AS189" s="481"/>
      <c r="AT189" s="499"/>
      <c r="AU189" s="499"/>
      <c r="AV189" s="526"/>
      <c r="AW189" s="481"/>
      <c r="AX189" s="524"/>
      <c r="AY189" s="524"/>
      <c r="AZ189" s="516"/>
      <c r="BA189" s="515"/>
      <c r="BB189" s="499"/>
      <c r="BC189" s="499"/>
      <c r="BD189" s="516"/>
      <c r="BE189" s="481"/>
      <c r="BF189" s="499"/>
      <c r="BG189" s="499"/>
      <c r="BH189" s="526"/>
      <c r="BI189" s="481"/>
      <c r="BJ189" s="509"/>
      <c r="BK189" s="509"/>
      <c r="BL189" s="520"/>
      <c r="BM189" s="515"/>
      <c r="BN189" s="509"/>
      <c r="BO189" s="509"/>
      <c r="BP189" s="520"/>
      <c r="BQ189" s="515"/>
      <c r="BR189" s="509"/>
      <c r="BS189" s="509"/>
      <c r="BT189" s="520"/>
      <c r="BU189" s="515"/>
      <c r="BV189" s="499"/>
      <c r="BW189" s="499"/>
      <c r="BX189" s="516"/>
      <c r="BY189" s="481"/>
      <c r="BZ189" s="499"/>
      <c r="CA189" s="499"/>
      <c r="CB189" s="526"/>
      <c r="CC189" s="481"/>
      <c r="CD189" s="509" t="s">
        <v>372</v>
      </c>
      <c r="CE189" s="509" t="s">
        <v>2</v>
      </c>
      <c r="CF189" s="513">
        <v>0.06081018518518518</v>
      </c>
      <c r="CG189" s="481">
        <v>256.9050715214564</v>
      </c>
      <c r="CH189" s="499"/>
      <c r="CI189" s="499"/>
      <c r="CJ189" s="526"/>
      <c r="CK189" s="481"/>
      <c r="CL189" s="499"/>
      <c r="CM189" s="499"/>
      <c r="CN189" s="526"/>
      <c r="CO189" s="481"/>
      <c r="CP189" s="509"/>
      <c r="CQ189" s="509"/>
      <c r="CR189" s="516"/>
      <c r="CS189" s="481"/>
      <c r="CT189" s="499"/>
      <c r="CU189" s="499"/>
      <c r="CV189" s="516"/>
      <c r="CW189" s="481"/>
      <c r="CX189" s="499"/>
      <c r="CY189" s="499"/>
      <c r="CZ189" s="526"/>
      <c r="DA189" s="481"/>
      <c r="DB189" s="499"/>
      <c r="DC189" s="499"/>
      <c r="DD189" s="526"/>
      <c r="DE189" s="481"/>
    </row>
    <row r="190" spans="1:109" ht="12.75">
      <c r="A190" s="504">
        <v>176</v>
      </c>
      <c r="B190" s="505" t="s">
        <v>336</v>
      </c>
      <c r="C190" s="371" t="s">
        <v>10</v>
      </c>
      <c r="D190" s="371" t="s">
        <v>357</v>
      </c>
      <c r="F190" s="190">
        <v>1988</v>
      </c>
      <c r="G190" s="506">
        <f t="shared" si="8"/>
        <v>243.2887700534756</v>
      </c>
      <c r="H190" s="507">
        <f t="shared" si="6"/>
        <v>243.2887700534756</v>
      </c>
      <c r="I190" s="508">
        <v>3</v>
      </c>
      <c r="J190" s="524"/>
      <c r="K190" s="499"/>
      <c r="M190" s="491"/>
      <c r="N190" s="524"/>
      <c r="O190" s="499"/>
      <c r="Q190" s="491"/>
      <c r="R190" s="524"/>
      <c r="S190" s="499"/>
      <c r="U190" s="491"/>
      <c r="V190" s="524"/>
      <c r="W190" s="499"/>
      <c r="Y190" s="491"/>
      <c r="Z190" s="524"/>
      <c r="AA190" s="499"/>
      <c r="AC190" s="491"/>
      <c r="AD190" s="524"/>
      <c r="AE190" s="524"/>
      <c r="AG190" s="491"/>
      <c r="AH190" s="524"/>
      <c r="AI190" s="524"/>
      <c r="AK190" s="491"/>
      <c r="AL190" s="524"/>
      <c r="AM190" s="537"/>
      <c r="AO190" s="481"/>
      <c r="AP190" s="541"/>
      <c r="AQ190" s="501"/>
      <c r="AR190" s="513"/>
      <c r="AS190" s="515"/>
      <c r="AT190" s="509"/>
      <c r="AU190" s="509"/>
      <c r="AV190" s="513"/>
      <c r="AW190" s="515"/>
      <c r="AX190" s="509"/>
      <c r="AY190" s="509"/>
      <c r="AZ190" s="513"/>
      <c r="BA190" s="515"/>
      <c r="BB190" s="499"/>
      <c r="BC190" s="499"/>
      <c r="BD190" s="498"/>
      <c r="BE190" s="491"/>
      <c r="BF190" s="499"/>
      <c r="BG190" s="499"/>
      <c r="BH190" s="498"/>
      <c r="BI190" s="491"/>
      <c r="BJ190" s="509"/>
      <c r="BK190" s="509"/>
      <c r="BL190" s="520"/>
      <c r="BM190" s="502"/>
      <c r="BN190" s="509"/>
      <c r="BO190" s="509"/>
      <c r="BP190" s="513"/>
      <c r="BQ190" s="515"/>
      <c r="BR190" s="509"/>
      <c r="BS190" s="509"/>
      <c r="BT190" s="513"/>
      <c r="BU190" s="515"/>
      <c r="BV190" s="499"/>
      <c r="BW190" s="499"/>
      <c r="BX190" s="526"/>
      <c r="BY190" s="481"/>
      <c r="BZ190" s="499"/>
      <c r="CA190" s="499"/>
      <c r="CB190" s="526"/>
      <c r="CC190" s="481"/>
      <c r="CD190" s="509" t="s">
        <v>292</v>
      </c>
      <c r="CE190" s="509" t="s">
        <v>1</v>
      </c>
      <c r="CF190" s="501" t="s">
        <v>358</v>
      </c>
      <c r="CG190" s="481">
        <v>0</v>
      </c>
      <c r="CH190" s="509"/>
      <c r="CI190" s="509"/>
      <c r="CJ190" s="520"/>
      <c r="CK190" s="515"/>
      <c r="CL190" s="509"/>
      <c r="CM190" s="509"/>
      <c r="CN190" s="520"/>
      <c r="CO190" s="515"/>
      <c r="CP190" s="509"/>
      <c r="CQ190" s="509"/>
      <c r="CR190" s="516"/>
      <c r="CS190" s="481"/>
      <c r="CT190" s="499"/>
      <c r="CU190" s="499"/>
      <c r="CV190" s="516"/>
      <c r="CW190" s="481"/>
      <c r="CX190" s="499" t="s">
        <v>443</v>
      </c>
      <c r="CY190" s="509" t="s">
        <v>1</v>
      </c>
      <c r="CZ190" s="520">
        <v>0.09177083333333334</v>
      </c>
      <c r="DA190" s="481">
        <v>233.2887700534756</v>
      </c>
      <c r="DB190" s="499" t="s">
        <v>443</v>
      </c>
      <c r="DC190" s="509" t="s">
        <v>1</v>
      </c>
      <c r="DD190" s="513">
        <v>0.12502314814814816</v>
      </c>
      <c r="DE190" s="481">
        <v>10</v>
      </c>
    </row>
    <row r="191" spans="1:111" s="494" customFormat="1" ht="12.75">
      <c r="A191" s="504">
        <v>176</v>
      </c>
      <c r="B191" s="522" t="s">
        <v>857</v>
      </c>
      <c r="C191" s="371" t="s">
        <v>131</v>
      </c>
      <c r="D191" s="371"/>
      <c r="E191" s="495" t="s">
        <v>360</v>
      </c>
      <c r="F191" s="190"/>
      <c r="G191" s="506">
        <f t="shared" si="8"/>
        <v>243.06340238543635</v>
      </c>
      <c r="H191" s="507">
        <f t="shared" si="6"/>
        <v>243.06340238543635</v>
      </c>
      <c r="I191" s="508">
        <v>1</v>
      </c>
      <c r="J191" s="524"/>
      <c r="K191" s="499"/>
      <c r="L191" s="498"/>
      <c r="M191" s="491"/>
      <c r="N191" s="524"/>
      <c r="O191" s="499"/>
      <c r="P191" s="516"/>
      <c r="Q191" s="491"/>
      <c r="R191" s="524"/>
      <c r="S191" s="499"/>
      <c r="T191" s="498"/>
      <c r="U191" s="491"/>
      <c r="V191" s="524"/>
      <c r="W191" s="499"/>
      <c r="X191" s="498"/>
      <c r="Y191" s="491"/>
      <c r="Z191" s="524"/>
      <c r="AA191" s="499"/>
      <c r="AB191" s="498"/>
      <c r="AC191" s="491"/>
      <c r="AD191" s="524"/>
      <c r="AE191" s="524"/>
      <c r="AF191" s="498"/>
      <c r="AG191" s="491"/>
      <c r="AH191" s="524"/>
      <c r="AI191" s="524"/>
      <c r="AJ191" s="516"/>
      <c r="AK191" s="491"/>
      <c r="AL191" s="524"/>
      <c r="AM191" s="524"/>
      <c r="AN191" s="498"/>
      <c r="AO191" s="491"/>
      <c r="AP191" s="541"/>
      <c r="AQ191" s="509"/>
      <c r="AR191" s="501"/>
      <c r="AS191" s="502"/>
      <c r="AT191" s="509"/>
      <c r="AU191" s="509"/>
      <c r="AV191" s="501"/>
      <c r="AW191" s="502"/>
      <c r="AX191" s="499"/>
      <c r="AY191" s="499"/>
      <c r="AZ191" s="516"/>
      <c r="BA191" s="502"/>
      <c r="BB191" s="499"/>
      <c r="BC191" s="499"/>
      <c r="BD191" s="498"/>
      <c r="BE191" s="491"/>
      <c r="BF191" s="499"/>
      <c r="BG191" s="499"/>
      <c r="BH191" s="498"/>
      <c r="BI191" s="491"/>
      <c r="BJ191" s="499"/>
      <c r="BK191" s="499"/>
      <c r="BL191" s="516"/>
      <c r="BM191" s="502"/>
      <c r="BN191" s="509"/>
      <c r="BO191" s="509"/>
      <c r="BP191" s="501"/>
      <c r="BQ191" s="502"/>
      <c r="BR191" s="509"/>
      <c r="BS191" s="509"/>
      <c r="BT191" s="501"/>
      <c r="BU191" s="502"/>
      <c r="BV191" s="509"/>
      <c r="BW191" s="509"/>
      <c r="BX191" s="520"/>
      <c r="BY191" s="515"/>
      <c r="BZ191" s="499"/>
      <c r="CA191" s="499"/>
      <c r="CB191" s="516"/>
      <c r="CC191" s="481"/>
      <c r="CD191" s="509"/>
      <c r="CE191" s="509"/>
      <c r="CF191" s="513"/>
      <c r="CG191" s="481"/>
      <c r="CH191" s="499"/>
      <c r="CI191" s="499"/>
      <c r="CJ191" s="526"/>
      <c r="CK191" s="481"/>
      <c r="CL191" s="499"/>
      <c r="CM191" s="499"/>
      <c r="CN191" s="526"/>
      <c r="CO191" s="481"/>
      <c r="CP191" s="499" t="s">
        <v>854</v>
      </c>
      <c r="CQ191" s="509" t="s">
        <v>2</v>
      </c>
      <c r="CR191" s="513">
        <v>0.0625462962962963</v>
      </c>
      <c r="CS191" s="481">
        <v>243.06340238543635</v>
      </c>
      <c r="CT191" s="499"/>
      <c r="CU191" s="509"/>
      <c r="CV191" s="509"/>
      <c r="CW191" s="481"/>
      <c r="CX191" s="499"/>
      <c r="CY191" s="499"/>
      <c r="CZ191" s="526"/>
      <c r="DA191" s="481"/>
      <c r="DB191" s="499"/>
      <c r="DC191" s="499"/>
      <c r="DD191" s="526"/>
      <c r="DE191" s="481"/>
      <c r="DF191" s="485"/>
      <c r="DG191" s="485"/>
    </row>
    <row r="192" spans="1:111" s="494" customFormat="1" ht="12.75">
      <c r="A192" s="504">
        <v>178</v>
      </c>
      <c r="B192" s="505" t="s">
        <v>330</v>
      </c>
      <c r="C192" s="371" t="s">
        <v>10</v>
      </c>
      <c r="D192" s="371" t="s">
        <v>331</v>
      </c>
      <c r="E192" s="495" t="s">
        <v>375</v>
      </c>
      <c r="F192" s="548">
        <v>1955</v>
      </c>
      <c r="G192" s="506">
        <f t="shared" si="8"/>
        <v>241.45643693107925</v>
      </c>
      <c r="H192" s="507">
        <f t="shared" si="6"/>
        <v>241.45643693107925</v>
      </c>
      <c r="I192" s="508">
        <v>1</v>
      </c>
      <c r="J192" s="524"/>
      <c r="K192" s="499"/>
      <c r="L192" s="498"/>
      <c r="M192" s="491"/>
      <c r="N192" s="524"/>
      <c r="O192" s="499"/>
      <c r="P192" s="498"/>
      <c r="Q192" s="491"/>
      <c r="R192" s="524"/>
      <c r="S192" s="499"/>
      <c r="T192" s="516"/>
      <c r="U192" s="491"/>
      <c r="V192" s="524"/>
      <c r="W192" s="499"/>
      <c r="X192" s="516"/>
      <c r="Y192" s="481"/>
      <c r="Z192" s="524"/>
      <c r="AA192" s="499"/>
      <c r="AB192" s="516"/>
      <c r="AC192" s="481"/>
      <c r="AD192" s="524"/>
      <c r="AE192" s="524"/>
      <c r="AF192" s="498"/>
      <c r="AG192" s="481"/>
      <c r="AH192" s="524"/>
      <c r="AI192" s="524"/>
      <c r="AJ192" s="516"/>
      <c r="AK192" s="481"/>
      <c r="AL192" s="524"/>
      <c r="AM192" s="537"/>
      <c r="AN192" s="526"/>
      <c r="AO192" s="481"/>
      <c r="AP192" s="524"/>
      <c r="AQ192" s="499"/>
      <c r="AR192" s="498"/>
      <c r="AS192" s="481"/>
      <c r="AT192" s="499"/>
      <c r="AU192" s="499"/>
      <c r="AV192" s="526"/>
      <c r="AW192" s="481"/>
      <c r="AX192" s="524"/>
      <c r="AY192" s="524"/>
      <c r="AZ192" s="516"/>
      <c r="BA192" s="515"/>
      <c r="BB192" s="499"/>
      <c r="BC192" s="499"/>
      <c r="BD192" s="516"/>
      <c r="BE192" s="481"/>
      <c r="BF192" s="499"/>
      <c r="BG192" s="499"/>
      <c r="BH192" s="526"/>
      <c r="BI192" s="481"/>
      <c r="BJ192" s="509"/>
      <c r="BK192" s="509"/>
      <c r="BL192" s="520"/>
      <c r="BM192" s="515"/>
      <c r="BN192" s="509"/>
      <c r="BO192" s="509"/>
      <c r="BP192" s="520"/>
      <c r="BQ192" s="515"/>
      <c r="BR192" s="509"/>
      <c r="BS192" s="509"/>
      <c r="BT192" s="520"/>
      <c r="BU192" s="515"/>
      <c r="BV192" s="499"/>
      <c r="BW192" s="499"/>
      <c r="BX192" s="516"/>
      <c r="BY192" s="481"/>
      <c r="BZ192" s="499"/>
      <c r="CA192" s="499"/>
      <c r="CB192" s="526"/>
      <c r="CC192" s="481"/>
      <c r="CD192" s="509" t="s">
        <v>651</v>
      </c>
      <c r="CE192" s="509" t="s">
        <v>2</v>
      </c>
      <c r="CF192" s="513">
        <v>0.06143518518518518</v>
      </c>
      <c r="CG192" s="481">
        <v>241.45643693107925</v>
      </c>
      <c r="CH192" s="509"/>
      <c r="CI192" s="509"/>
      <c r="CJ192" s="520"/>
      <c r="CK192" s="515"/>
      <c r="CL192" s="509"/>
      <c r="CM192" s="509"/>
      <c r="CN192" s="520"/>
      <c r="CO192" s="515"/>
      <c r="CP192" s="499"/>
      <c r="CQ192" s="499"/>
      <c r="CR192" s="516"/>
      <c r="CS192" s="481"/>
      <c r="CT192" s="499"/>
      <c r="CU192" s="499"/>
      <c r="CV192" s="516"/>
      <c r="CW192" s="481"/>
      <c r="CX192" s="509"/>
      <c r="CY192" s="509"/>
      <c r="CZ192" s="520"/>
      <c r="DA192" s="515"/>
      <c r="DB192" s="499"/>
      <c r="DC192" s="499"/>
      <c r="DD192" s="526"/>
      <c r="DE192" s="481"/>
      <c r="DF192" s="485"/>
      <c r="DG192" s="485"/>
    </row>
    <row r="193" spans="1:111" s="494" customFormat="1" ht="12.75">
      <c r="A193" s="504">
        <v>179</v>
      </c>
      <c r="B193" s="505" t="s">
        <v>229</v>
      </c>
      <c r="C193" s="371" t="s">
        <v>10</v>
      </c>
      <c r="D193" s="371" t="s">
        <v>49</v>
      </c>
      <c r="E193" s="495" t="s">
        <v>375</v>
      </c>
      <c r="F193" s="190">
        <v>1967</v>
      </c>
      <c r="G193" s="506">
        <f t="shared" si="8"/>
        <v>214.34782608695622</v>
      </c>
      <c r="H193" s="507">
        <f t="shared" si="6"/>
        <v>214.34782608695622</v>
      </c>
      <c r="I193" s="508">
        <v>3</v>
      </c>
      <c r="J193" s="524"/>
      <c r="K193" s="499"/>
      <c r="L193" s="498"/>
      <c r="M193" s="491"/>
      <c r="N193" s="524"/>
      <c r="O193" s="499"/>
      <c r="P193" s="498"/>
      <c r="Q193" s="491"/>
      <c r="R193" s="524"/>
      <c r="S193" s="499"/>
      <c r="T193" s="498"/>
      <c r="U193" s="491"/>
      <c r="V193" s="524"/>
      <c r="W193" s="499"/>
      <c r="X193" s="498"/>
      <c r="Y193" s="491"/>
      <c r="Z193" s="524"/>
      <c r="AA193" s="499"/>
      <c r="AB193" s="498"/>
      <c r="AC193" s="491"/>
      <c r="AD193" s="524"/>
      <c r="AE193" s="524"/>
      <c r="AF193" s="498"/>
      <c r="AG193" s="491"/>
      <c r="AH193" s="524"/>
      <c r="AI193" s="524"/>
      <c r="AJ193" s="498"/>
      <c r="AK193" s="491"/>
      <c r="AL193" s="509" t="s">
        <v>651</v>
      </c>
      <c r="AM193" s="509" t="s">
        <v>172</v>
      </c>
      <c r="AN193" s="501" t="s">
        <v>358</v>
      </c>
      <c r="AO193" s="481">
        <v>0</v>
      </c>
      <c r="AP193" s="509"/>
      <c r="AQ193" s="509"/>
      <c r="AR193" s="501"/>
      <c r="AS193" s="481"/>
      <c r="AT193" s="499"/>
      <c r="AU193" s="499"/>
      <c r="AV193" s="526"/>
      <c r="AW193" s="481"/>
      <c r="AX193" s="499"/>
      <c r="AY193" s="499"/>
      <c r="AZ193" s="526"/>
      <c r="BA193" s="481"/>
      <c r="BB193" s="499"/>
      <c r="BC193" s="499"/>
      <c r="BD193" s="516"/>
      <c r="BE193" s="481"/>
      <c r="BF193" s="509"/>
      <c r="BG193" s="509"/>
      <c r="BH193" s="509"/>
      <c r="BI193" s="481"/>
      <c r="BJ193" s="509"/>
      <c r="BK193" s="509"/>
      <c r="BL193" s="509"/>
      <c r="BM193" s="481"/>
      <c r="BN193" s="509" t="s">
        <v>743</v>
      </c>
      <c r="BO193" s="509" t="s">
        <v>158</v>
      </c>
      <c r="BP193" s="513">
        <v>0.07339120370370371</v>
      </c>
      <c r="BQ193" s="481">
        <v>10</v>
      </c>
      <c r="BR193" s="509" t="s">
        <v>743</v>
      </c>
      <c r="BS193" s="509" t="s">
        <v>158</v>
      </c>
      <c r="BT193" s="513">
        <v>0.04137731481481482</v>
      </c>
      <c r="BU193" s="481">
        <v>204.34782608695622</v>
      </c>
      <c r="BV193" s="499"/>
      <c r="BW193" s="499"/>
      <c r="BX193" s="516"/>
      <c r="BY193" s="481"/>
      <c r="BZ193" s="499"/>
      <c r="CA193" s="499"/>
      <c r="CB193" s="526"/>
      <c r="CC193" s="481"/>
      <c r="CD193" s="499"/>
      <c r="CE193" s="499"/>
      <c r="CF193" s="526"/>
      <c r="CG193" s="481"/>
      <c r="CH193" s="509"/>
      <c r="CI193" s="509"/>
      <c r="CJ193" s="520"/>
      <c r="CK193" s="515"/>
      <c r="CL193" s="509"/>
      <c r="CM193" s="509"/>
      <c r="CN193" s="520"/>
      <c r="CO193" s="515"/>
      <c r="CP193" s="509"/>
      <c r="CQ193" s="509"/>
      <c r="CR193" s="516"/>
      <c r="CS193" s="481"/>
      <c r="CT193" s="499"/>
      <c r="CU193" s="499"/>
      <c r="CV193" s="516"/>
      <c r="CW193" s="481"/>
      <c r="CX193" s="499"/>
      <c r="CY193" s="499"/>
      <c r="CZ193" s="526"/>
      <c r="DA193" s="481"/>
      <c r="DB193" s="499"/>
      <c r="DC193" s="499"/>
      <c r="DD193" s="516"/>
      <c r="DE193" s="481"/>
      <c r="DF193" s="485"/>
      <c r="DG193" s="485"/>
    </row>
    <row r="194" spans="1:111" s="494" customFormat="1" ht="12.75">
      <c r="A194" s="504">
        <v>179</v>
      </c>
      <c r="B194" s="522" t="s">
        <v>810</v>
      </c>
      <c r="C194" s="371" t="s">
        <v>10</v>
      </c>
      <c r="D194" s="371" t="s">
        <v>809</v>
      </c>
      <c r="E194" s="495" t="s">
        <v>359</v>
      </c>
      <c r="F194" s="548">
        <v>2005</v>
      </c>
      <c r="G194" s="506">
        <f t="shared" si="8"/>
        <v>214.3243243243241</v>
      </c>
      <c r="H194" s="507">
        <f t="shared" si="6"/>
        <v>214.3243243243241</v>
      </c>
      <c r="I194" s="508">
        <v>3</v>
      </c>
      <c r="J194" s="524"/>
      <c r="K194" s="499"/>
      <c r="L194" s="498"/>
      <c r="M194" s="491"/>
      <c r="N194" s="524"/>
      <c r="O194" s="499"/>
      <c r="P194" s="516"/>
      <c r="Q194" s="491"/>
      <c r="R194" s="524"/>
      <c r="S194" s="499"/>
      <c r="T194" s="498"/>
      <c r="U194" s="491"/>
      <c r="V194" s="524"/>
      <c r="W194" s="499"/>
      <c r="X194" s="498"/>
      <c r="Y194" s="491"/>
      <c r="Z194" s="524"/>
      <c r="AA194" s="499"/>
      <c r="AB194" s="498"/>
      <c r="AC194" s="491"/>
      <c r="AD194" s="524"/>
      <c r="AE194" s="524"/>
      <c r="AF194" s="498"/>
      <c r="AG194" s="491"/>
      <c r="AH194" s="524"/>
      <c r="AI194" s="524"/>
      <c r="AJ194" s="516"/>
      <c r="AK194" s="491"/>
      <c r="AL194" s="524"/>
      <c r="AM194" s="524"/>
      <c r="AN194" s="498"/>
      <c r="AO194" s="491"/>
      <c r="AP194" s="541"/>
      <c r="AQ194" s="509"/>
      <c r="AR194" s="501"/>
      <c r="AS194" s="502"/>
      <c r="AT194" s="509"/>
      <c r="AU194" s="509"/>
      <c r="AV194" s="501"/>
      <c r="AW194" s="502"/>
      <c r="AX194" s="499"/>
      <c r="AY194" s="499"/>
      <c r="AZ194" s="516"/>
      <c r="BA194" s="502"/>
      <c r="BB194" s="499"/>
      <c r="BC194" s="499"/>
      <c r="BD194" s="498"/>
      <c r="BE194" s="491"/>
      <c r="BF194" s="499"/>
      <c r="BG194" s="499"/>
      <c r="BH194" s="498"/>
      <c r="BI194" s="491"/>
      <c r="BJ194" s="499"/>
      <c r="BK194" s="499"/>
      <c r="BL194" s="516"/>
      <c r="BM194" s="502"/>
      <c r="BN194" s="509"/>
      <c r="BO194" s="509"/>
      <c r="BP194" s="501"/>
      <c r="BQ194" s="502"/>
      <c r="BR194" s="509"/>
      <c r="BS194" s="509"/>
      <c r="BT194" s="501"/>
      <c r="BU194" s="502"/>
      <c r="BV194" s="509"/>
      <c r="BW194" s="509"/>
      <c r="BX194" s="520"/>
      <c r="BY194" s="515"/>
      <c r="BZ194" s="499"/>
      <c r="CA194" s="499"/>
      <c r="CB194" s="516"/>
      <c r="CC194" s="481"/>
      <c r="CD194" s="509" t="s">
        <v>644</v>
      </c>
      <c r="CE194" s="509" t="s">
        <v>172</v>
      </c>
      <c r="CF194" s="513">
        <v>0.07663194444444445</v>
      </c>
      <c r="CG194" s="481">
        <v>10</v>
      </c>
      <c r="CH194" s="499"/>
      <c r="CI194" s="499"/>
      <c r="CJ194" s="526"/>
      <c r="CK194" s="481"/>
      <c r="CL194" s="499"/>
      <c r="CM194" s="499"/>
      <c r="CN194" s="526"/>
      <c r="CO194" s="481"/>
      <c r="CP194" s="499"/>
      <c r="CQ194" s="499"/>
      <c r="CR194" s="520"/>
      <c r="CS194" s="515"/>
      <c r="CT194" s="509"/>
      <c r="CU194" s="509"/>
      <c r="CV194" s="520"/>
      <c r="CW194" s="515"/>
      <c r="CX194" s="499" t="s">
        <v>397</v>
      </c>
      <c r="CY194" s="509" t="s">
        <v>158</v>
      </c>
      <c r="CZ194" s="520" t="s">
        <v>358</v>
      </c>
      <c r="DA194" s="481">
        <v>0</v>
      </c>
      <c r="DB194" s="499" t="s">
        <v>397</v>
      </c>
      <c r="DC194" s="509" t="s">
        <v>158</v>
      </c>
      <c r="DD194" s="516">
        <v>0.06217592592592593</v>
      </c>
      <c r="DE194" s="481">
        <v>204.3243243243241</v>
      </c>
      <c r="DF194" s="485"/>
      <c r="DG194" s="485"/>
    </row>
    <row r="195" spans="1:111" s="494" customFormat="1" ht="12.75">
      <c r="A195" s="504">
        <v>181</v>
      </c>
      <c r="B195" s="522" t="s">
        <v>641</v>
      </c>
      <c r="C195" s="371" t="s">
        <v>10</v>
      </c>
      <c r="D195" s="371" t="s">
        <v>112</v>
      </c>
      <c r="E195" s="495"/>
      <c r="F195" s="190"/>
      <c r="G195" s="506">
        <f t="shared" si="8"/>
        <v>197.15777262181007</v>
      </c>
      <c r="H195" s="507">
        <f t="shared" si="6"/>
        <v>197.15777262181007</v>
      </c>
      <c r="I195" s="508">
        <v>1</v>
      </c>
      <c r="J195" s="509"/>
      <c r="K195" s="509"/>
      <c r="L195" s="513"/>
      <c r="M195" s="481"/>
      <c r="N195" s="524"/>
      <c r="O195" s="499"/>
      <c r="P195" s="498"/>
      <c r="Q195" s="491"/>
      <c r="R195" s="524"/>
      <c r="S195" s="499"/>
      <c r="T195" s="516"/>
      <c r="U195" s="481"/>
      <c r="V195" s="524"/>
      <c r="W195" s="499"/>
      <c r="X195" s="516"/>
      <c r="Y195" s="481"/>
      <c r="Z195" s="509"/>
      <c r="AA195" s="509"/>
      <c r="AB195" s="520"/>
      <c r="AC195" s="481"/>
      <c r="AD195" s="509"/>
      <c r="AE195" s="509"/>
      <c r="AF195" s="520"/>
      <c r="AG195" s="481"/>
      <c r="AH195" s="509"/>
      <c r="AI195" s="509"/>
      <c r="AJ195" s="520"/>
      <c r="AK195" s="481"/>
      <c r="AL195" s="509"/>
      <c r="AM195" s="509"/>
      <c r="AN195" s="509"/>
      <c r="AO195" s="481"/>
      <c r="AP195" s="509" t="s">
        <v>625</v>
      </c>
      <c r="AQ195" s="509" t="s">
        <v>1</v>
      </c>
      <c r="AR195" s="513">
        <v>0.03633101851851852</v>
      </c>
      <c r="AS195" s="481">
        <v>197.15777262181007</v>
      </c>
      <c r="AT195" s="524"/>
      <c r="AU195" s="524"/>
      <c r="AV195" s="526"/>
      <c r="AW195" s="481"/>
      <c r="AX195" s="524"/>
      <c r="AY195" s="524"/>
      <c r="AZ195" s="516"/>
      <c r="BA195" s="481"/>
      <c r="BB195" s="524"/>
      <c r="BC195" s="524"/>
      <c r="BD195" s="516"/>
      <c r="BE195" s="481"/>
      <c r="BF195" s="499"/>
      <c r="BG195" s="499"/>
      <c r="BH195" s="516"/>
      <c r="BI195" s="481"/>
      <c r="BJ195" s="499"/>
      <c r="BK195" s="499"/>
      <c r="BL195" s="516"/>
      <c r="BM195" s="481"/>
      <c r="BN195" s="499"/>
      <c r="BO195" s="499"/>
      <c r="BP195" s="526"/>
      <c r="BQ195" s="481"/>
      <c r="BR195" s="499"/>
      <c r="BS195" s="499"/>
      <c r="BT195" s="526"/>
      <c r="BU195" s="481"/>
      <c r="BV195" s="499"/>
      <c r="BW195" s="499"/>
      <c r="BX195" s="516"/>
      <c r="BY195" s="481"/>
      <c r="BZ195" s="499"/>
      <c r="CA195" s="499"/>
      <c r="CB195" s="516"/>
      <c r="CC195" s="481"/>
      <c r="CD195" s="499"/>
      <c r="CE195" s="499"/>
      <c r="CF195" s="526"/>
      <c r="CG195" s="481"/>
      <c r="CH195" s="509"/>
      <c r="CI195" s="509"/>
      <c r="CJ195" s="520"/>
      <c r="CK195" s="515"/>
      <c r="CL195" s="509"/>
      <c r="CM195" s="509"/>
      <c r="CN195" s="520"/>
      <c r="CO195" s="515"/>
      <c r="CP195" s="499"/>
      <c r="CQ195" s="499"/>
      <c r="CR195" s="516"/>
      <c r="CS195" s="481"/>
      <c r="CT195" s="499"/>
      <c r="CU195" s="499"/>
      <c r="CV195" s="516"/>
      <c r="CW195" s="481"/>
      <c r="CX195" s="509"/>
      <c r="CY195" s="509"/>
      <c r="CZ195" s="520"/>
      <c r="DA195" s="515"/>
      <c r="DB195" s="499"/>
      <c r="DC195" s="499"/>
      <c r="DD195" s="526"/>
      <c r="DE195" s="481"/>
      <c r="DF195" s="485"/>
      <c r="DG195" s="485"/>
    </row>
    <row r="196" spans="1:111" s="494" customFormat="1" ht="12.75">
      <c r="A196" s="504">
        <v>182</v>
      </c>
      <c r="B196" s="505" t="s">
        <v>81</v>
      </c>
      <c r="C196" s="371" t="s">
        <v>10</v>
      </c>
      <c r="D196" s="371" t="s">
        <v>11</v>
      </c>
      <c r="E196" s="495" t="s">
        <v>375</v>
      </c>
      <c r="F196" s="190">
        <v>1962</v>
      </c>
      <c r="G196" s="506">
        <f t="shared" si="8"/>
        <v>176.22886866059812</v>
      </c>
      <c r="H196" s="507">
        <f t="shared" si="6"/>
        <v>176.22886866059812</v>
      </c>
      <c r="I196" s="508">
        <v>1</v>
      </c>
      <c r="J196" s="524"/>
      <c r="K196" s="499"/>
      <c r="L196" s="498"/>
      <c r="M196" s="491"/>
      <c r="N196" s="524"/>
      <c r="O196" s="499"/>
      <c r="P196" s="516"/>
      <c r="Q196" s="481"/>
      <c r="R196" s="524"/>
      <c r="S196" s="499"/>
      <c r="T196" s="516"/>
      <c r="U196" s="481"/>
      <c r="V196" s="524"/>
      <c r="W196" s="499"/>
      <c r="X196" s="516"/>
      <c r="Y196" s="481"/>
      <c r="Z196" s="524"/>
      <c r="AA196" s="499"/>
      <c r="AB196" s="516"/>
      <c r="AC196" s="481"/>
      <c r="AD196" s="524"/>
      <c r="AE196" s="524"/>
      <c r="AF196" s="516"/>
      <c r="AG196" s="481"/>
      <c r="AH196" s="524"/>
      <c r="AI196" s="524"/>
      <c r="AJ196" s="516"/>
      <c r="AK196" s="481"/>
      <c r="AL196" s="524"/>
      <c r="AM196" s="537"/>
      <c r="AN196" s="498"/>
      <c r="AO196" s="481"/>
      <c r="AP196" s="541"/>
      <c r="AQ196" s="501"/>
      <c r="AR196" s="543"/>
      <c r="AS196" s="515"/>
      <c r="AT196" s="509"/>
      <c r="AU196" s="509"/>
      <c r="AV196" s="513"/>
      <c r="AW196" s="515"/>
      <c r="AX196" s="509"/>
      <c r="AY196" s="509"/>
      <c r="AZ196" s="520"/>
      <c r="BA196" s="515"/>
      <c r="BB196" s="499"/>
      <c r="BC196" s="499"/>
      <c r="BD196" s="516"/>
      <c r="BE196" s="481"/>
      <c r="BF196" s="499"/>
      <c r="BG196" s="499"/>
      <c r="BH196" s="516"/>
      <c r="BI196" s="481"/>
      <c r="BJ196" s="509"/>
      <c r="BK196" s="509"/>
      <c r="BL196" s="520"/>
      <c r="BM196" s="515"/>
      <c r="BN196" s="509"/>
      <c r="BO196" s="509"/>
      <c r="BP196" s="520"/>
      <c r="BQ196" s="515"/>
      <c r="BR196" s="509"/>
      <c r="BS196" s="509"/>
      <c r="BT196" s="520"/>
      <c r="BU196" s="515"/>
      <c r="BV196" s="499"/>
      <c r="BW196" s="499"/>
      <c r="BX196" s="516"/>
      <c r="BY196" s="481"/>
      <c r="BZ196" s="499"/>
      <c r="CA196" s="499"/>
      <c r="CB196" s="516"/>
      <c r="CC196" s="481"/>
      <c r="CD196" s="509" t="s">
        <v>651</v>
      </c>
      <c r="CE196" s="509" t="s">
        <v>2</v>
      </c>
      <c r="CF196" s="513">
        <v>0.06407407407407407</v>
      </c>
      <c r="CG196" s="481">
        <v>176.22886866059812</v>
      </c>
      <c r="CH196" s="499"/>
      <c r="CI196" s="499"/>
      <c r="CJ196" s="516"/>
      <c r="CK196" s="481"/>
      <c r="CL196" s="499"/>
      <c r="CM196" s="499"/>
      <c r="CN196" s="516"/>
      <c r="CO196" s="481"/>
      <c r="CP196" s="509"/>
      <c r="CQ196" s="509"/>
      <c r="CR196" s="526"/>
      <c r="CS196" s="481"/>
      <c r="CT196" s="499"/>
      <c r="CU196" s="499"/>
      <c r="CV196" s="526"/>
      <c r="CW196" s="481"/>
      <c r="CX196" s="499"/>
      <c r="CY196" s="499"/>
      <c r="CZ196" s="516"/>
      <c r="DA196" s="481"/>
      <c r="DB196" s="499"/>
      <c r="DC196" s="499"/>
      <c r="DD196" s="516"/>
      <c r="DE196" s="481"/>
      <c r="DF196" s="485"/>
      <c r="DG196" s="485"/>
    </row>
    <row r="197" spans="1:111" s="494" customFormat="1" ht="12.75">
      <c r="A197" s="504">
        <v>182</v>
      </c>
      <c r="B197" s="522" t="s">
        <v>807</v>
      </c>
      <c r="C197" s="371" t="s">
        <v>10</v>
      </c>
      <c r="D197" s="527" t="s">
        <v>778</v>
      </c>
      <c r="E197" s="495" t="s">
        <v>359</v>
      </c>
      <c r="F197" s="548"/>
      <c r="G197" s="506">
        <f t="shared" si="8"/>
        <v>176.0000000000001</v>
      </c>
      <c r="H197" s="507">
        <f t="shared" si="6"/>
        <v>176.0000000000001</v>
      </c>
      <c r="I197" s="508">
        <v>1</v>
      </c>
      <c r="J197" s="524"/>
      <c r="K197" s="499"/>
      <c r="L197" s="498"/>
      <c r="M197" s="491"/>
      <c r="N197" s="524"/>
      <c r="O197" s="499"/>
      <c r="P197" s="516"/>
      <c r="Q197" s="491"/>
      <c r="R197" s="524"/>
      <c r="S197" s="499"/>
      <c r="T197" s="498"/>
      <c r="U197" s="491"/>
      <c r="V197" s="524"/>
      <c r="W197" s="499"/>
      <c r="X197" s="498"/>
      <c r="Y197" s="491"/>
      <c r="Z197" s="524"/>
      <c r="AA197" s="499"/>
      <c r="AB197" s="498"/>
      <c r="AC197" s="491"/>
      <c r="AD197" s="524"/>
      <c r="AE197" s="524"/>
      <c r="AF197" s="498"/>
      <c r="AG197" s="491"/>
      <c r="AH197" s="524"/>
      <c r="AI197" s="524"/>
      <c r="AJ197" s="516"/>
      <c r="AK197" s="491"/>
      <c r="AL197" s="524"/>
      <c r="AM197" s="524"/>
      <c r="AN197" s="498"/>
      <c r="AO197" s="491"/>
      <c r="AP197" s="541"/>
      <c r="AQ197" s="509"/>
      <c r="AR197" s="501"/>
      <c r="AS197" s="502"/>
      <c r="AT197" s="509"/>
      <c r="AU197" s="509"/>
      <c r="AV197" s="501"/>
      <c r="AW197" s="502"/>
      <c r="AX197" s="499"/>
      <c r="AY197" s="499"/>
      <c r="AZ197" s="516"/>
      <c r="BA197" s="502"/>
      <c r="BB197" s="499"/>
      <c r="BC197" s="499"/>
      <c r="BD197" s="498"/>
      <c r="BE197" s="491"/>
      <c r="BF197" s="499"/>
      <c r="BG197" s="499"/>
      <c r="BH197" s="498"/>
      <c r="BI197" s="491"/>
      <c r="BJ197" s="499"/>
      <c r="BK197" s="499"/>
      <c r="BL197" s="516"/>
      <c r="BM197" s="502"/>
      <c r="BN197" s="509"/>
      <c r="BO197" s="509"/>
      <c r="BP197" s="501"/>
      <c r="BQ197" s="502"/>
      <c r="BR197" s="509"/>
      <c r="BS197" s="509"/>
      <c r="BT197" s="501"/>
      <c r="BU197" s="502"/>
      <c r="BV197" s="509"/>
      <c r="BW197" s="509"/>
      <c r="BX197" s="520"/>
      <c r="BY197" s="515"/>
      <c r="BZ197" s="499"/>
      <c r="CA197" s="499"/>
      <c r="CB197" s="516"/>
      <c r="CC197" s="481"/>
      <c r="CD197" s="509" t="s">
        <v>644</v>
      </c>
      <c r="CE197" s="509" t="s">
        <v>172</v>
      </c>
      <c r="CF197" s="513">
        <v>0.048749999999999995</v>
      </c>
      <c r="CG197" s="481">
        <v>176.0000000000001</v>
      </c>
      <c r="CH197" s="509"/>
      <c r="CI197" s="509"/>
      <c r="CJ197" s="520"/>
      <c r="CK197" s="515"/>
      <c r="CL197" s="509"/>
      <c r="CM197" s="509"/>
      <c r="CN197" s="520"/>
      <c r="CO197" s="515"/>
      <c r="CP197" s="499"/>
      <c r="CQ197" s="499"/>
      <c r="CR197" s="516"/>
      <c r="CS197" s="481"/>
      <c r="CT197" s="499"/>
      <c r="CU197" s="499"/>
      <c r="CV197" s="516"/>
      <c r="CW197" s="481"/>
      <c r="CX197" s="509"/>
      <c r="CY197" s="509"/>
      <c r="CZ197" s="520"/>
      <c r="DA197" s="515"/>
      <c r="DB197" s="499"/>
      <c r="DC197" s="499"/>
      <c r="DD197" s="526"/>
      <c r="DE197" s="481"/>
      <c r="DF197" s="485"/>
      <c r="DG197" s="485"/>
    </row>
    <row r="198" spans="1:111" s="494" customFormat="1" ht="12.75">
      <c r="A198" s="504">
        <v>184</v>
      </c>
      <c r="B198" s="522" t="s">
        <v>803</v>
      </c>
      <c r="C198" s="371" t="s">
        <v>10</v>
      </c>
      <c r="D198" s="527"/>
      <c r="E198" s="528"/>
      <c r="F198" s="548"/>
      <c r="G198" s="506">
        <f t="shared" si="8"/>
        <v>160.14234875444816</v>
      </c>
      <c r="H198" s="507">
        <f t="shared" si="6"/>
        <v>160.14234875444816</v>
      </c>
      <c r="I198" s="508">
        <v>1</v>
      </c>
      <c r="J198" s="524"/>
      <c r="K198" s="499"/>
      <c r="L198" s="498"/>
      <c r="M198" s="491"/>
      <c r="N198" s="524"/>
      <c r="O198" s="499"/>
      <c r="P198" s="516"/>
      <c r="Q198" s="491"/>
      <c r="R198" s="524"/>
      <c r="S198" s="499"/>
      <c r="T198" s="498"/>
      <c r="U198" s="491"/>
      <c r="V198" s="524"/>
      <c r="W198" s="499"/>
      <c r="X198" s="498"/>
      <c r="Y198" s="491"/>
      <c r="Z198" s="524"/>
      <c r="AA198" s="499"/>
      <c r="AB198" s="498"/>
      <c r="AC198" s="491"/>
      <c r="AD198" s="524"/>
      <c r="AE198" s="524"/>
      <c r="AF198" s="498"/>
      <c r="AG198" s="491"/>
      <c r="AH198" s="524"/>
      <c r="AI198" s="524"/>
      <c r="AJ198" s="516"/>
      <c r="AK198" s="491"/>
      <c r="AL198" s="524"/>
      <c r="AM198" s="524"/>
      <c r="AN198" s="498"/>
      <c r="AO198" s="491"/>
      <c r="AP198" s="541"/>
      <c r="AQ198" s="509"/>
      <c r="AR198" s="501"/>
      <c r="AS198" s="502"/>
      <c r="AT198" s="509"/>
      <c r="AU198" s="509"/>
      <c r="AV198" s="501"/>
      <c r="AW198" s="502"/>
      <c r="AX198" s="499"/>
      <c r="AY198" s="499"/>
      <c r="AZ198" s="516"/>
      <c r="BA198" s="502"/>
      <c r="BB198" s="499"/>
      <c r="BC198" s="499"/>
      <c r="BD198" s="498"/>
      <c r="BE198" s="491"/>
      <c r="BF198" s="499"/>
      <c r="BG198" s="499"/>
      <c r="BH198" s="498"/>
      <c r="BI198" s="491"/>
      <c r="BJ198" s="499"/>
      <c r="BK198" s="499"/>
      <c r="BL198" s="516"/>
      <c r="BM198" s="502"/>
      <c r="BN198" s="509"/>
      <c r="BO198" s="509"/>
      <c r="BP198" s="501"/>
      <c r="BQ198" s="502"/>
      <c r="BR198" s="509"/>
      <c r="BS198" s="509"/>
      <c r="BT198" s="501"/>
      <c r="BU198" s="502"/>
      <c r="BV198" s="509"/>
      <c r="BW198" s="509"/>
      <c r="BX198" s="520"/>
      <c r="BY198" s="515"/>
      <c r="BZ198" s="499"/>
      <c r="CA198" s="499"/>
      <c r="CB198" s="516"/>
      <c r="CC198" s="481"/>
      <c r="CD198" s="509" t="s">
        <v>292</v>
      </c>
      <c r="CE198" s="509" t="s">
        <v>1</v>
      </c>
      <c r="CF198" s="513">
        <v>0.06634259259259259</v>
      </c>
      <c r="CG198" s="481">
        <v>160.14234875444816</v>
      </c>
      <c r="CH198" s="499"/>
      <c r="CI198" s="499"/>
      <c r="CJ198" s="526"/>
      <c r="CK198" s="481"/>
      <c r="CL198" s="499"/>
      <c r="CM198" s="499"/>
      <c r="CN198" s="526"/>
      <c r="CO198" s="481"/>
      <c r="CP198" s="509"/>
      <c r="CQ198" s="509"/>
      <c r="CR198" s="516"/>
      <c r="CS198" s="481"/>
      <c r="CT198" s="499"/>
      <c r="CU198" s="499"/>
      <c r="CV198" s="516"/>
      <c r="CW198" s="481"/>
      <c r="CX198" s="499"/>
      <c r="CY198" s="499"/>
      <c r="CZ198" s="526"/>
      <c r="DA198" s="481"/>
      <c r="DB198" s="499"/>
      <c r="DC198" s="499"/>
      <c r="DD198" s="516"/>
      <c r="DE198" s="481"/>
      <c r="DF198" s="485"/>
      <c r="DG198" s="485"/>
    </row>
    <row r="199" spans="1:111" s="494" customFormat="1" ht="12.75">
      <c r="A199" s="504">
        <v>185</v>
      </c>
      <c r="B199" s="505" t="s">
        <v>224</v>
      </c>
      <c r="C199" s="371" t="s">
        <v>10</v>
      </c>
      <c r="D199" s="371" t="s">
        <v>225</v>
      </c>
      <c r="E199" s="495" t="s">
        <v>375</v>
      </c>
      <c r="F199" s="548">
        <v>1967</v>
      </c>
      <c r="G199" s="506">
        <f t="shared" si="8"/>
        <v>71.21030557219893</v>
      </c>
      <c r="H199" s="507">
        <f t="shared" si="6"/>
        <v>71.21030557219893</v>
      </c>
      <c r="I199" s="508">
        <v>4</v>
      </c>
      <c r="J199" s="524"/>
      <c r="K199" s="499"/>
      <c r="L199" s="498"/>
      <c r="M199" s="491"/>
      <c r="N199" s="524"/>
      <c r="O199" s="499"/>
      <c r="P199" s="498"/>
      <c r="Q199" s="491"/>
      <c r="R199" s="524"/>
      <c r="S199" s="499"/>
      <c r="T199" s="498"/>
      <c r="U199" s="481"/>
      <c r="V199" s="524"/>
      <c r="W199" s="499"/>
      <c r="X199" s="498"/>
      <c r="Y199" s="481"/>
      <c r="Z199" s="524"/>
      <c r="AA199" s="499"/>
      <c r="AB199" s="498"/>
      <c r="AC199" s="481"/>
      <c r="AD199" s="524"/>
      <c r="AE199" s="524"/>
      <c r="AF199" s="498"/>
      <c r="AG199" s="491"/>
      <c r="AH199" s="524"/>
      <c r="AI199" s="524"/>
      <c r="AJ199" s="498"/>
      <c r="AK199" s="481"/>
      <c r="AL199" s="509"/>
      <c r="AM199" s="509"/>
      <c r="AN199" s="509"/>
      <c r="AO199" s="481"/>
      <c r="AP199" s="509" t="s">
        <v>651</v>
      </c>
      <c r="AQ199" s="509" t="s">
        <v>158</v>
      </c>
      <c r="AR199" s="513">
        <v>0.037349537037037035</v>
      </c>
      <c r="AS199" s="481">
        <v>51.21030557219893</v>
      </c>
      <c r="AT199" s="524"/>
      <c r="AU199" s="524"/>
      <c r="AV199" s="516"/>
      <c r="AW199" s="481"/>
      <c r="AX199" s="524"/>
      <c r="AY199" s="524"/>
      <c r="AZ199" s="526"/>
      <c r="BA199" s="481"/>
      <c r="BB199" s="524"/>
      <c r="BC199" s="524"/>
      <c r="BD199" s="516"/>
      <c r="BE199" s="481"/>
      <c r="BF199" s="499"/>
      <c r="BG199" s="499"/>
      <c r="BH199" s="498"/>
      <c r="BI199" s="481"/>
      <c r="BJ199" s="509" t="s">
        <v>743</v>
      </c>
      <c r="BK199" s="509" t="s">
        <v>158</v>
      </c>
      <c r="BL199" s="509" t="s">
        <v>358</v>
      </c>
      <c r="BM199" s="481">
        <v>0</v>
      </c>
      <c r="BN199" s="509" t="s">
        <v>743</v>
      </c>
      <c r="BO199" s="509" t="s">
        <v>158</v>
      </c>
      <c r="BP199" s="513">
        <v>0.07517361111111111</v>
      </c>
      <c r="BQ199" s="481">
        <v>10</v>
      </c>
      <c r="BR199" s="499"/>
      <c r="BS199" s="499"/>
      <c r="BT199" s="498"/>
      <c r="BU199" s="481"/>
      <c r="BV199" s="499"/>
      <c r="BW199" s="499"/>
      <c r="BX199" s="526"/>
      <c r="BY199" s="481"/>
      <c r="BZ199" s="499"/>
      <c r="CA199" s="499"/>
      <c r="CB199" s="516"/>
      <c r="CC199" s="481"/>
      <c r="CD199" s="509" t="s">
        <v>651</v>
      </c>
      <c r="CE199" s="509" t="s">
        <v>2</v>
      </c>
      <c r="CF199" s="513">
        <v>0.07719907407407407</v>
      </c>
      <c r="CG199" s="481">
        <v>10</v>
      </c>
      <c r="CH199" s="499"/>
      <c r="CI199" s="499"/>
      <c r="CJ199" s="526"/>
      <c r="CK199" s="481"/>
      <c r="CL199" s="499"/>
      <c r="CM199" s="499"/>
      <c r="CN199" s="526"/>
      <c r="CO199" s="481"/>
      <c r="CP199" s="509"/>
      <c r="CQ199" s="509"/>
      <c r="CR199" s="516"/>
      <c r="CS199" s="481"/>
      <c r="CT199" s="499"/>
      <c r="CU199" s="499"/>
      <c r="CV199" s="516"/>
      <c r="CW199" s="481"/>
      <c r="CX199" s="499"/>
      <c r="CY199" s="499"/>
      <c r="CZ199" s="526"/>
      <c r="DA199" s="481"/>
      <c r="DB199" s="499"/>
      <c r="DC199" s="499"/>
      <c r="DD199" s="516"/>
      <c r="DE199" s="481"/>
      <c r="DF199" s="485"/>
      <c r="DG199" s="485"/>
    </row>
    <row r="200" spans="1:111" s="494" customFormat="1" ht="12.75">
      <c r="A200" s="504">
        <v>186</v>
      </c>
      <c r="B200" s="505" t="s">
        <v>232</v>
      </c>
      <c r="C200" s="371" t="s">
        <v>10</v>
      </c>
      <c r="D200" s="371" t="s">
        <v>215</v>
      </c>
      <c r="E200" s="495" t="s">
        <v>360</v>
      </c>
      <c r="F200" s="548">
        <v>1970</v>
      </c>
      <c r="G200" s="506">
        <f t="shared" si="8"/>
        <v>68.94668400520139</v>
      </c>
      <c r="H200" s="507">
        <f t="shared" si="6"/>
        <v>68.94668400520139</v>
      </c>
      <c r="I200" s="508">
        <v>1</v>
      </c>
      <c r="J200" s="524"/>
      <c r="K200" s="499"/>
      <c r="L200" s="498"/>
      <c r="M200" s="491"/>
      <c r="N200" s="524"/>
      <c r="O200" s="499"/>
      <c r="P200" s="498"/>
      <c r="Q200" s="491"/>
      <c r="R200" s="524"/>
      <c r="S200" s="499"/>
      <c r="T200" s="498"/>
      <c r="U200" s="491"/>
      <c r="V200" s="524"/>
      <c r="W200" s="499"/>
      <c r="X200" s="498"/>
      <c r="Y200" s="491"/>
      <c r="Z200" s="524"/>
      <c r="AA200" s="499"/>
      <c r="AB200" s="498"/>
      <c r="AC200" s="491"/>
      <c r="AD200" s="524"/>
      <c r="AE200" s="524"/>
      <c r="AF200" s="498"/>
      <c r="AG200" s="491"/>
      <c r="AH200" s="524"/>
      <c r="AI200" s="524"/>
      <c r="AJ200" s="498"/>
      <c r="AK200" s="491"/>
      <c r="AL200" s="524"/>
      <c r="AM200" s="537"/>
      <c r="AN200" s="526"/>
      <c r="AO200" s="481"/>
      <c r="AP200" s="541"/>
      <c r="AQ200" s="501"/>
      <c r="AR200" s="543"/>
      <c r="AS200" s="515"/>
      <c r="AT200" s="509"/>
      <c r="AU200" s="509"/>
      <c r="AV200" s="513"/>
      <c r="AW200" s="515"/>
      <c r="AX200" s="509"/>
      <c r="AY200" s="509"/>
      <c r="AZ200" s="513"/>
      <c r="BA200" s="515"/>
      <c r="BB200" s="499"/>
      <c r="BC200" s="499"/>
      <c r="BD200" s="516"/>
      <c r="BE200" s="481"/>
      <c r="BF200" s="499"/>
      <c r="BG200" s="499"/>
      <c r="BH200" s="526"/>
      <c r="BI200" s="481"/>
      <c r="BJ200" s="509"/>
      <c r="BK200" s="509"/>
      <c r="BL200" s="520"/>
      <c r="BM200" s="502"/>
      <c r="BN200" s="509"/>
      <c r="BO200" s="509"/>
      <c r="BP200" s="513"/>
      <c r="BQ200" s="515"/>
      <c r="BR200" s="509"/>
      <c r="BS200" s="509"/>
      <c r="BT200" s="513"/>
      <c r="BU200" s="515"/>
      <c r="BV200" s="509"/>
      <c r="BW200" s="509"/>
      <c r="BX200" s="513"/>
      <c r="BY200" s="515"/>
      <c r="BZ200" s="509"/>
      <c r="CA200" s="509"/>
      <c r="CB200" s="513"/>
      <c r="CC200" s="481"/>
      <c r="CD200" s="509" t="s">
        <v>372</v>
      </c>
      <c r="CE200" s="509" t="s">
        <v>2</v>
      </c>
      <c r="CF200" s="513">
        <v>0.06841435185185185</v>
      </c>
      <c r="CG200" s="481">
        <v>68.94668400520139</v>
      </c>
      <c r="CH200" s="509"/>
      <c r="CI200" s="509"/>
      <c r="CJ200" s="520"/>
      <c r="CK200" s="515"/>
      <c r="CL200" s="509"/>
      <c r="CM200" s="509"/>
      <c r="CN200" s="520"/>
      <c r="CO200" s="515"/>
      <c r="CP200" s="499"/>
      <c r="CQ200" s="499"/>
      <c r="CR200" s="526"/>
      <c r="CS200" s="481"/>
      <c r="CT200" s="499"/>
      <c r="CU200" s="499"/>
      <c r="CV200" s="526"/>
      <c r="CW200" s="481"/>
      <c r="CX200" s="509"/>
      <c r="CY200" s="509"/>
      <c r="CZ200" s="520"/>
      <c r="DA200" s="515"/>
      <c r="DB200" s="499"/>
      <c r="DC200" s="499"/>
      <c r="DD200" s="526"/>
      <c r="DE200" s="481"/>
      <c r="DF200" s="485"/>
      <c r="DG200" s="485"/>
    </row>
    <row r="201" spans="1:111" s="494" customFormat="1" ht="12.75">
      <c r="A201" s="504">
        <v>187</v>
      </c>
      <c r="B201" s="519" t="s">
        <v>645</v>
      </c>
      <c r="C201" s="371" t="s">
        <v>10</v>
      </c>
      <c r="D201" s="371" t="s">
        <v>17</v>
      </c>
      <c r="E201" s="495" t="s">
        <v>359</v>
      </c>
      <c r="F201" s="548">
        <v>2008</v>
      </c>
      <c r="G201" s="506">
        <f t="shared" si="8"/>
        <v>20</v>
      </c>
      <c r="H201" s="507">
        <f t="shared" si="6"/>
        <v>20</v>
      </c>
      <c r="I201" s="508">
        <v>5</v>
      </c>
      <c r="J201" s="509"/>
      <c r="K201" s="509"/>
      <c r="L201" s="513"/>
      <c r="M201" s="481"/>
      <c r="N201" s="509"/>
      <c r="O201" s="509"/>
      <c r="P201" s="513"/>
      <c r="Q201" s="481"/>
      <c r="R201" s="524"/>
      <c r="S201" s="499"/>
      <c r="T201" s="516"/>
      <c r="U201" s="481"/>
      <c r="V201" s="524"/>
      <c r="W201" s="499"/>
      <c r="X201" s="498"/>
      <c r="Y201" s="481"/>
      <c r="Z201" s="513"/>
      <c r="AA201" s="509"/>
      <c r="AB201" s="513"/>
      <c r="AC201" s="481"/>
      <c r="AD201" s="513"/>
      <c r="AE201" s="509"/>
      <c r="AF201" s="513"/>
      <c r="AG201" s="491"/>
      <c r="AH201" s="513"/>
      <c r="AI201" s="509"/>
      <c r="AJ201" s="538"/>
      <c r="AK201" s="481"/>
      <c r="AL201" s="509" t="s">
        <v>644</v>
      </c>
      <c r="AM201" s="509" t="s">
        <v>627</v>
      </c>
      <c r="AN201" s="501" t="s">
        <v>358</v>
      </c>
      <c r="AO201" s="481">
        <v>0</v>
      </c>
      <c r="AP201" s="509" t="s">
        <v>644</v>
      </c>
      <c r="AQ201" s="509" t="s">
        <v>173</v>
      </c>
      <c r="AR201" s="513">
        <v>0.06159722222222222</v>
      </c>
      <c r="AS201" s="481">
        <v>10</v>
      </c>
      <c r="AT201" s="524"/>
      <c r="AU201" s="524"/>
      <c r="AV201" s="526"/>
      <c r="AW201" s="481"/>
      <c r="AX201" s="524"/>
      <c r="AY201" s="524"/>
      <c r="AZ201" s="526"/>
      <c r="BA201" s="481"/>
      <c r="BB201" s="524"/>
      <c r="BC201" s="524"/>
      <c r="BD201" s="516"/>
      <c r="BE201" s="481"/>
      <c r="BF201" s="499"/>
      <c r="BG201" s="499"/>
      <c r="BH201" s="498"/>
      <c r="BI201" s="491"/>
      <c r="BJ201" s="509"/>
      <c r="BK201" s="509"/>
      <c r="BL201" s="501"/>
      <c r="BM201" s="502"/>
      <c r="BN201" s="509"/>
      <c r="BO201" s="509"/>
      <c r="BP201" s="513"/>
      <c r="BQ201" s="515"/>
      <c r="BR201" s="509"/>
      <c r="BS201" s="509"/>
      <c r="BT201" s="501"/>
      <c r="BU201" s="502"/>
      <c r="BV201" s="499"/>
      <c r="BW201" s="499"/>
      <c r="BX201" s="516"/>
      <c r="BY201" s="481"/>
      <c r="BZ201" s="499"/>
      <c r="CA201" s="499"/>
      <c r="CB201" s="526"/>
      <c r="CC201" s="481"/>
      <c r="CD201" s="509" t="s">
        <v>644</v>
      </c>
      <c r="CE201" s="509" t="s">
        <v>172</v>
      </c>
      <c r="CF201" s="501" t="s">
        <v>358</v>
      </c>
      <c r="CG201" s="481">
        <v>0</v>
      </c>
      <c r="CH201" s="499" t="s">
        <v>780</v>
      </c>
      <c r="CI201" s="499" t="s">
        <v>158</v>
      </c>
      <c r="CJ201" s="544" t="s">
        <v>685</v>
      </c>
      <c r="CK201" s="481">
        <v>0</v>
      </c>
      <c r="CL201" s="499" t="s">
        <v>780</v>
      </c>
      <c r="CM201" s="499" t="s">
        <v>158</v>
      </c>
      <c r="CN201" s="513">
        <v>0.12195601851851852</v>
      </c>
      <c r="CO201" s="481">
        <v>10</v>
      </c>
      <c r="CP201" s="499"/>
      <c r="CQ201" s="499"/>
      <c r="CR201" s="516"/>
      <c r="CS201" s="481"/>
      <c r="CT201" s="499"/>
      <c r="CU201" s="499"/>
      <c r="CV201" s="516"/>
      <c r="CW201" s="481"/>
      <c r="CX201" s="499"/>
      <c r="CY201" s="499"/>
      <c r="CZ201" s="516"/>
      <c r="DA201" s="481"/>
      <c r="DB201" s="499"/>
      <c r="DC201" s="499"/>
      <c r="DD201" s="526"/>
      <c r="DE201" s="481"/>
      <c r="DF201" s="485"/>
      <c r="DG201" s="485"/>
    </row>
    <row r="202" spans="1:111" s="494" customFormat="1" ht="12.75">
      <c r="A202" s="504">
        <v>188</v>
      </c>
      <c r="B202" s="522" t="s">
        <v>642</v>
      </c>
      <c r="C202" s="371" t="s">
        <v>10</v>
      </c>
      <c r="D202" s="371" t="s">
        <v>235</v>
      </c>
      <c r="E202" s="495"/>
      <c r="F202" s="548"/>
      <c r="G202" s="506">
        <f t="shared" si="8"/>
        <v>10</v>
      </c>
      <c r="H202" s="507">
        <f t="shared" si="6"/>
        <v>10</v>
      </c>
      <c r="I202" s="508">
        <v>1</v>
      </c>
      <c r="J202" s="524"/>
      <c r="K202" s="499"/>
      <c r="L202" s="498"/>
      <c r="M202" s="491"/>
      <c r="N202" s="524"/>
      <c r="O202" s="499"/>
      <c r="P202" s="516"/>
      <c r="Q202" s="481"/>
      <c r="R202" s="524"/>
      <c r="S202" s="499"/>
      <c r="T202" s="516"/>
      <c r="U202" s="481"/>
      <c r="V202" s="524"/>
      <c r="W202" s="499"/>
      <c r="X202" s="516"/>
      <c r="Y202" s="481"/>
      <c r="Z202" s="509"/>
      <c r="AA202" s="509"/>
      <c r="AB202" s="520"/>
      <c r="AC202" s="481"/>
      <c r="AD202" s="509"/>
      <c r="AE202" s="509"/>
      <c r="AF202" s="520"/>
      <c r="AG202" s="481"/>
      <c r="AH202" s="509"/>
      <c r="AI202" s="509"/>
      <c r="AJ202" s="520"/>
      <c r="AK202" s="481"/>
      <c r="AL202" s="509"/>
      <c r="AM202" s="509"/>
      <c r="AN202" s="545"/>
      <c r="AO202" s="481"/>
      <c r="AP202" s="509" t="s">
        <v>625</v>
      </c>
      <c r="AQ202" s="509" t="s">
        <v>1</v>
      </c>
      <c r="AR202" s="513">
        <v>0.050416666666666665</v>
      </c>
      <c r="AS202" s="481">
        <v>10</v>
      </c>
      <c r="AT202" s="499"/>
      <c r="AU202" s="499"/>
      <c r="AV202" s="516"/>
      <c r="AW202" s="481"/>
      <c r="AX202" s="499"/>
      <c r="AY202" s="499"/>
      <c r="AZ202" s="498"/>
      <c r="BA202" s="481"/>
      <c r="BB202" s="499"/>
      <c r="BC202" s="499"/>
      <c r="BD202" s="516"/>
      <c r="BE202" s="481"/>
      <c r="BF202" s="499"/>
      <c r="BG202" s="499"/>
      <c r="BH202" s="516"/>
      <c r="BI202" s="481"/>
      <c r="BJ202" s="499"/>
      <c r="BK202" s="499"/>
      <c r="BL202" s="516"/>
      <c r="BM202" s="481"/>
      <c r="BN202" s="499"/>
      <c r="BO202" s="499"/>
      <c r="BP202" s="516"/>
      <c r="BQ202" s="481"/>
      <c r="BR202" s="499"/>
      <c r="BS202" s="499"/>
      <c r="BT202" s="516"/>
      <c r="BU202" s="481"/>
      <c r="BV202" s="499"/>
      <c r="BW202" s="499"/>
      <c r="BX202" s="516"/>
      <c r="BY202" s="481"/>
      <c r="BZ202" s="499"/>
      <c r="CA202" s="499"/>
      <c r="CB202" s="516"/>
      <c r="CC202" s="481"/>
      <c r="CD202" s="499"/>
      <c r="CE202" s="499"/>
      <c r="CF202" s="526"/>
      <c r="CG202" s="481"/>
      <c r="CH202" s="499"/>
      <c r="CI202" s="499"/>
      <c r="CJ202" s="526"/>
      <c r="CK202" s="481"/>
      <c r="CL202" s="499"/>
      <c r="CM202" s="499"/>
      <c r="CN202" s="526"/>
      <c r="CO202" s="481"/>
      <c r="CP202" s="499"/>
      <c r="CQ202" s="499"/>
      <c r="CR202" s="526"/>
      <c r="CS202" s="481"/>
      <c r="CT202" s="499"/>
      <c r="CU202" s="499"/>
      <c r="CV202" s="526"/>
      <c r="CW202" s="481"/>
      <c r="CX202" s="499"/>
      <c r="CY202" s="499"/>
      <c r="CZ202" s="516"/>
      <c r="DA202" s="481"/>
      <c r="DB202" s="499"/>
      <c r="DC202" s="499"/>
      <c r="DD202" s="526"/>
      <c r="DE202" s="481"/>
      <c r="DF202" s="485"/>
      <c r="DG202" s="485"/>
    </row>
    <row r="203" spans="1:111" s="494" customFormat="1" ht="12.75">
      <c r="A203" s="504">
        <v>188</v>
      </c>
      <c r="B203" s="505" t="s">
        <v>264</v>
      </c>
      <c r="C203" s="371" t="s">
        <v>10</v>
      </c>
      <c r="D203" s="371" t="s">
        <v>256</v>
      </c>
      <c r="E203" s="495"/>
      <c r="F203" s="548">
        <v>1980</v>
      </c>
      <c r="G203" s="506">
        <f t="shared" si="8"/>
        <v>10</v>
      </c>
      <c r="H203" s="507">
        <f t="shared" si="6"/>
        <v>10</v>
      </c>
      <c r="I203" s="508">
        <v>1</v>
      </c>
      <c r="J203" s="524"/>
      <c r="K203" s="499"/>
      <c r="L203" s="498"/>
      <c r="M203" s="491"/>
      <c r="N203" s="524"/>
      <c r="O203" s="499"/>
      <c r="P203" s="498"/>
      <c r="Q203" s="491"/>
      <c r="R203" s="524"/>
      <c r="S203" s="499"/>
      <c r="T203" s="498"/>
      <c r="U203" s="491"/>
      <c r="V203" s="524"/>
      <c r="W203" s="499"/>
      <c r="X203" s="498"/>
      <c r="Y203" s="491"/>
      <c r="Z203" s="524"/>
      <c r="AA203" s="499"/>
      <c r="AB203" s="498"/>
      <c r="AC203" s="491"/>
      <c r="AD203" s="524"/>
      <c r="AE203" s="524"/>
      <c r="AF203" s="498"/>
      <c r="AG203" s="491"/>
      <c r="AH203" s="524"/>
      <c r="AI203" s="524"/>
      <c r="AJ203" s="498"/>
      <c r="AK203" s="491"/>
      <c r="AL203" s="524"/>
      <c r="AM203" s="524"/>
      <c r="AN203" s="498"/>
      <c r="AO203" s="491"/>
      <c r="AP203" s="541"/>
      <c r="AQ203" s="509"/>
      <c r="AR203" s="501"/>
      <c r="AS203" s="502"/>
      <c r="AT203" s="509"/>
      <c r="AU203" s="509"/>
      <c r="AV203" s="501"/>
      <c r="AW203" s="502"/>
      <c r="AX203" s="509"/>
      <c r="AY203" s="509"/>
      <c r="AZ203" s="501"/>
      <c r="BA203" s="502"/>
      <c r="BB203" s="499"/>
      <c r="BC203" s="499"/>
      <c r="BD203" s="498"/>
      <c r="BE203" s="491"/>
      <c r="BF203" s="499"/>
      <c r="BG203" s="499"/>
      <c r="BH203" s="498"/>
      <c r="BI203" s="491"/>
      <c r="BJ203" s="509"/>
      <c r="BK203" s="509"/>
      <c r="BL203" s="501"/>
      <c r="BM203" s="502"/>
      <c r="BN203" s="509"/>
      <c r="BO203" s="509"/>
      <c r="BP203" s="501"/>
      <c r="BQ203" s="502"/>
      <c r="BR203" s="509"/>
      <c r="BS203" s="509"/>
      <c r="BT203" s="501"/>
      <c r="BU203" s="502"/>
      <c r="BV203" s="509"/>
      <c r="BW203" s="509"/>
      <c r="BX203" s="520"/>
      <c r="BY203" s="515"/>
      <c r="BZ203" s="509"/>
      <c r="CA203" s="509"/>
      <c r="CB203" s="520"/>
      <c r="CC203" s="481"/>
      <c r="CD203" s="509" t="s">
        <v>292</v>
      </c>
      <c r="CE203" s="509" t="s">
        <v>1</v>
      </c>
      <c r="CF203" s="513">
        <v>0.07203703703703704</v>
      </c>
      <c r="CG203" s="481">
        <v>10</v>
      </c>
      <c r="CH203" s="499"/>
      <c r="CI203" s="499"/>
      <c r="CJ203" s="516"/>
      <c r="CK203" s="481"/>
      <c r="CL203" s="499"/>
      <c r="CM203" s="499"/>
      <c r="CN203" s="516"/>
      <c r="CO203" s="481"/>
      <c r="CP203" s="499"/>
      <c r="CQ203" s="499"/>
      <c r="CR203" s="526"/>
      <c r="CS203" s="481"/>
      <c r="CT203" s="499"/>
      <c r="CU203" s="499"/>
      <c r="CV203" s="526"/>
      <c r="CW203" s="481"/>
      <c r="CX203" s="499"/>
      <c r="CY203" s="499"/>
      <c r="CZ203" s="516"/>
      <c r="DA203" s="481"/>
      <c r="DB203" s="509"/>
      <c r="DC203" s="509"/>
      <c r="DD203" s="520"/>
      <c r="DE203" s="515"/>
      <c r="DF203" s="485"/>
      <c r="DG203" s="485"/>
    </row>
    <row r="204" spans="1:109" s="494" customFormat="1" ht="12.75">
      <c r="A204" s="504">
        <v>188</v>
      </c>
      <c r="B204" s="522" t="s">
        <v>811</v>
      </c>
      <c r="C204" s="371" t="s">
        <v>10</v>
      </c>
      <c r="D204" s="527" t="s">
        <v>812</v>
      </c>
      <c r="E204" s="495" t="s">
        <v>359</v>
      </c>
      <c r="F204" s="548">
        <v>2007</v>
      </c>
      <c r="G204" s="506">
        <f t="shared" si="8"/>
        <v>10</v>
      </c>
      <c r="H204" s="507">
        <f t="shared" si="6"/>
        <v>10</v>
      </c>
      <c r="I204" s="508">
        <v>1</v>
      </c>
      <c r="J204" s="524"/>
      <c r="K204" s="499"/>
      <c r="L204" s="498"/>
      <c r="M204" s="491"/>
      <c r="N204" s="524"/>
      <c r="O204" s="499"/>
      <c r="P204" s="516"/>
      <c r="Q204" s="491"/>
      <c r="R204" s="524"/>
      <c r="S204" s="499"/>
      <c r="T204" s="498"/>
      <c r="U204" s="491"/>
      <c r="V204" s="524"/>
      <c r="W204" s="499"/>
      <c r="X204" s="498"/>
      <c r="Y204" s="491"/>
      <c r="Z204" s="524"/>
      <c r="AA204" s="499"/>
      <c r="AB204" s="498"/>
      <c r="AC204" s="491"/>
      <c r="AD204" s="524"/>
      <c r="AE204" s="524"/>
      <c r="AF204" s="498"/>
      <c r="AG204" s="491"/>
      <c r="AH204" s="524"/>
      <c r="AI204" s="524"/>
      <c r="AJ204" s="516"/>
      <c r="AK204" s="491"/>
      <c r="AL204" s="524"/>
      <c r="AM204" s="524"/>
      <c r="AN204" s="498"/>
      <c r="AO204" s="491"/>
      <c r="AP204" s="541"/>
      <c r="AQ204" s="509"/>
      <c r="AR204" s="501"/>
      <c r="AS204" s="502"/>
      <c r="AT204" s="509"/>
      <c r="AU204" s="509"/>
      <c r="AV204" s="501"/>
      <c r="AW204" s="502"/>
      <c r="AX204" s="499"/>
      <c r="AY204" s="499"/>
      <c r="AZ204" s="516"/>
      <c r="BA204" s="502"/>
      <c r="BB204" s="499"/>
      <c r="BC204" s="499"/>
      <c r="BD204" s="498"/>
      <c r="BE204" s="491"/>
      <c r="BF204" s="499"/>
      <c r="BG204" s="499"/>
      <c r="BH204" s="498"/>
      <c r="BI204" s="491"/>
      <c r="BJ204" s="499"/>
      <c r="BK204" s="499"/>
      <c r="BL204" s="516"/>
      <c r="BM204" s="502"/>
      <c r="BN204" s="509"/>
      <c r="BO204" s="509"/>
      <c r="BP204" s="501"/>
      <c r="BQ204" s="502"/>
      <c r="BR204" s="509"/>
      <c r="BS204" s="509"/>
      <c r="BT204" s="501"/>
      <c r="BU204" s="502"/>
      <c r="BV204" s="509"/>
      <c r="BW204" s="509"/>
      <c r="BX204" s="520"/>
      <c r="BY204" s="515"/>
      <c r="BZ204" s="499"/>
      <c r="CA204" s="499"/>
      <c r="CB204" s="516"/>
      <c r="CC204" s="481"/>
      <c r="CD204" s="509" t="s">
        <v>644</v>
      </c>
      <c r="CE204" s="509" t="s">
        <v>172</v>
      </c>
      <c r="CF204" s="513">
        <v>0.07680555555555556</v>
      </c>
      <c r="CG204" s="481">
        <v>10</v>
      </c>
      <c r="CH204" s="499"/>
      <c r="CI204" s="499"/>
      <c r="CJ204" s="516"/>
      <c r="CK204" s="481"/>
      <c r="CL204" s="499"/>
      <c r="CM204" s="499"/>
      <c r="CN204" s="516"/>
      <c r="CO204" s="481"/>
      <c r="CP204" s="499"/>
      <c r="CQ204" s="499"/>
      <c r="CR204" s="520"/>
      <c r="CS204" s="515"/>
      <c r="CT204" s="509"/>
      <c r="CU204" s="509"/>
      <c r="CV204" s="520"/>
      <c r="CW204" s="515"/>
      <c r="CX204" s="499"/>
      <c r="CY204" s="499"/>
      <c r="CZ204" s="516"/>
      <c r="DA204" s="481"/>
      <c r="DB204" s="499"/>
      <c r="DC204" s="499"/>
      <c r="DD204" s="526"/>
      <c r="DE204" s="481"/>
    </row>
    <row r="205" spans="1:111" s="494" customFormat="1" ht="12.75">
      <c r="A205" s="504">
        <v>188</v>
      </c>
      <c r="B205" s="522" t="s">
        <v>804</v>
      </c>
      <c r="C205" s="371" t="s">
        <v>10</v>
      </c>
      <c r="D205" s="527" t="s">
        <v>215</v>
      </c>
      <c r="E205" s="528"/>
      <c r="F205" s="548">
        <v>1984</v>
      </c>
      <c r="G205" s="506">
        <f t="shared" si="8"/>
        <v>10</v>
      </c>
      <c r="H205" s="507">
        <f t="shared" si="6"/>
        <v>10</v>
      </c>
      <c r="I205" s="508">
        <v>1</v>
      </c>
      <c r="J205" s="524"/>
      <c r="K205" s="499"/>
      <c r="L205" s="498"/>
      <c r="M205" s="491"/>
      <c r="N205" s="524"/>
      <c r="O205" s="499"/>
      <c r="P205" s="516"/>
      <c r="Q205" s="491"/>
      <c r="R205" s="524"/>
      <c r="S205" s="499"/>
      <c r="T205" s="498"/>
      <c r="U205" s="491"/>
      <c r="V205" s="524"/>
      <c r="W205" s="499"/>
      <c r="X205" s="498"/>
      <c r="Y205" s="491"/>
      <c r="Z205" s="524"/>
      <c r="AA205" s="499"/>
      <c r="AB205" s="498"/>
      <c r="AC205" s="491"/>
      <c r="AD205" s="524"/>
      <c r="AE205" s="524"/>
      <c r="AF205" s="498"/>
      <c r="AG205" s="491"/>
      <c r="AH205" s="524"/>
      <c r="AI205" s="524"/>
      <c r="AJ205" s="516"/>
      <c r="AK205" s="491"/>
      <c r="AL205" s="524"/>
      <c r="AM205" s="524"/>
      <c r="AN205" s="498"/>
      <c r="AO205" s="491"/>
      <c r="AP205" s="541"/>
      <c r="AQ205" s="509"/>
      <c r="AR205" s="501"/>
      <c r="AS205" s="502"/>
      <c r="AT205" s="509"/>
      <c r="AU205" s="509"/>
      <c r="AV205" s="501"/>
      <c r="AW205" s="502"/>
      <c r="AX205" s="499"/>
      <c r="AY205" s="499"/>
      <c r="AZ205" s="516"/>
      <c r="BA205" s="502"/>
      <c r="BB205" s="499"/>
      <c r="BC205" s="499"/>
      <c r="BD205" s="498"/>
      <c r="BE205" s="491"/>
      <c r="BF205" s="499"/>
      <c r="BG205" s="499"/>
      <c r="BH205" s="498"/>
      <c r="BI205" s="491"/>
      <c r="BJ205" s="499"/>
      <c r="BK205" s="499"/>
      <c r="BL205" s="516"/>
      <c r="BM205" s="502"/>
      <c r="BN205" s="509"/>
      <c r="BO205" s="509"/>
      <c r="BP205" s="501"/>
      <c r="BQ205" s="502"/>
      <c r="BR205" s="509"/>
      <c r="BS205" s="509"/>
      <c r="BT205" s="501"/>
      <c r="BU205" s="502"/>
      <c r="BV205" s="509"/>
      <c r="BW205" s="509"/>
      <c r="BX205" s="520"/>
      <c r="BY205" s="515"/>
      <c r="BZ205" s="499"/>
      <c r="CA205" s="499"/>
      <c r="CB205" s="516"/>
      <c r="CC205" s="481"/>
      <c r="CD205" s="509" t="s">
        <v>292</v>
      </c>
      <c r="CE205" s="509" t="s">
        <v>1</v>
      </c>
      <c r="CF205" s="513">
        <v>0.08108796296296296</v>
      </c>
      <c r="CG205" s="481">
        <v>10</v>
      </c>
      <c r="CH205" s="509"/>
      <c r="CI205" s="509"/>
      <c r="CJ205" s="520"/>
      <c r="CK205" s="515"/>
      <c r="CL205" s="509"/>
      <c r="CM205" s="509"/>
      <c r="CN205" s="520"/>
      <c r="CO205" s="515"/>
      <c r="CP205" s="499"/>
      <c r="CQ205" s="499"/>
      <c r="CR205" s="516"/>
      <c r="CS205" s="481"/>
      <c r="CT205" s="499"/>
      <c r="CU205" s="499"/>
      <c r="CV205" s="516"/>
      <c r="CW205" s="481"/>
      <c r="CX205" s="499"/>
      <c r="CY205" s="499"/>
      <c r="CZ205" s="526"/>
      <c r="DA205" s="481"/>
      <c r="DB205" s="499"/>
      <c r="DC205" s="499"/>
      <c r="DD205" s="526"/>
      <c r="DE205" s="481"/>
      <c r="DF205" s="485"/>
      <c r="DG205" s="485"/>
    </row>
    <row r="206" spans="1:111" s="494" customFormat="1" ht="12.75">
      <c r="A206" s="504">
        <v>188</v>
      </c>
      <c r="B206" s="522" t="s">
        <v>746</v>
      </c>
      <c r="C206" s="371" t="s">
        <v>10</v>
      </c>
      <c r="D206" s="371"/>
      <c r="E206" s="495"/>
      <c r="F206" s="548"/>
      <c r="G206" s="506">
        <f t="shared" si="8"/>
        <v>10</v>
      </c>
      <c r="H206" s="507">
        <f t="shared" si="6"/>
        <v>10</v>
      </c>
      <c r="I206" s="508">
        <v>2</v>
      </c>
      <c r="J206" s="524"/>
      <c r="K206" s="499"/>
      <c r="L206" s="498"/>
      <c r="M206" s="491"/>
      <c r="N206" s="524"/>
      <c r="O206" s="499"/>
      <c r="P206" s="498"/>
      <c r="Q206" s="481"/>
      <c r="R206" s="524"/>
      <c r="S206" s="499"/>
      <c r="T206" s="498"/>
      <c r="U206" s="491"/>
      <c r="V206" s="524"/>
      <c r="W206" s="499"/>
      <c r="X206" s="498"/>
      <c r="Y206" s="491"/>
      <c r="Z206" s="524"/>
      <c r="AA206" s="499"/>
      <c r="AB206" s="498"/>
      <c r="AC206" s="491"/>
      <c r="AD206" s="524"/>
      <c r="AE206" s="524"/>
      <c r="AF206" s="498"/>
      <c r="AG206" s="491"/>
      <c r="AH206" s="524"/>
      <c r="AI206" s="524"/>
      <c r="AJ206" s="498"/>
      <c r="AK206" s="491"/>
      <c r="AL206" s="524"/>
      <c r="AM206" s="524"/>
      <c r="AN206" s="498"/>
      <c r="AO206" s="491"/>
      <c r="AP206" s="524"/>
      <c r="AQ206" s="499"/>
      <c r="AR206" s="498"/>
      <c r="AS206" s="491"/>
      <c r="AT206" s="509"/>
      <c r="AU206" s="509"/>
      <c r="AV206" s="509"/>
      <c r="AW206" s="502"/>
      <c r="AX206" s="509"/>
      <c r="AY206" s="509"/>
      <c r="AZ206" s="513"/>
      <c r="BA206" s="540"/>
      <c r="BB206" s="509"/>
      <c r="BC206" s="509"/>
      <c r="BD206" s="513"/>
      <c r="BE206" s="491"/>
      <c r="BF206" s="509"/>
      <c r="BG206" s="509"/>
      <c r="BH206" s="509"/>
      <c r="BI206" s="481"/>
      <c r="BJ206" s="509" t="s">
        <v>743</v>
      </c>
      <c r="BK206" s="509" t="s">
        <v>158</v>
      </c>
      <c r="BL206" s="513">
        <v>0.025243055555555557</v>
      </c>
      <c r="BM206" s="481">
        <v>10</v>
      </c>
      <c r="BN206" s="509" t="s">
        <v>743</v>
      </c>
      <c r="BO206" s="509" t="s">
        <v>158</v>
      </c>
      <c r="BP206" s="509" t="s">
        <v>358</v>
      </c>
      <c r="BQ206" s="481">
        <v>0</v>
      </c>
      <c r="BR206" s="509"/>
      <c r="BS206" s="509"/>
      <c r="BT206" s="509"/>
      <c r="BU206" s="481"/>
      <c r="BV206" s="499"/>
      <c r="BW206" s="499"/>
      <c r="BX206" s="498"/>
      <c r="BY206" s="481"/>
      <c r="BZ206" s="499"/>
      <c r="CA206" s="499"/>
      <c r="CB206" s="498"/>
      <c r="CC206" s="481"/>
      <c r="CD206" s="499"/>
      <c r="CE206" s="499"/>
      <c r="CF206" s="526"/>
      <c r="CG206" s="481"/>
      <c r="CH206" s="499"/>
      <c r="CI206" s="499"/>
      <c r="CJ206" s="526"/>
      <c r="CK206" s="481"/>
      <c r="CL206" s="499"/>
      <c r="CM206" s="499"/>
      <c r="CN206" s="526"/>
      <c r="CO206" s="481"/>
      <c r="CP206" s="509"/>
      <c r="CQ206" s="509"/>
      <c r="CR206" s="526"/>
      <c r="CS206" s="481"/>
      <c r="CT206" s="499"/>
      <c r="CU206" s="499"/>
      <c r="CV206" s="526"/>
      <c r="CW206" s="481"/>
      <c r="CX206" s="499"/>
      <c r="CY206" s="499"/>
      <c r="CZ206" s="516"/>
      <c r="DA206" s="481"/>
      <c r="DB206" s="499"/>
      <c r="DC206" s="499"/>
      <c r="DD206" s="516"/>
      <c r="DE206" s="481"/>
      <c r="DF206" s="485"/>
      <c r="DG206" s="485"/>
    </row>
    <row r="207" spans="1:111" s="494" customFormat="1" ht="12.75">
      <c r="A207" s="504">
        <v>193</v>
      </c>
      <c r="B207" s="505" t="s">
        <v>241</v>
      </c>
      <c r="C207" s="371" t="s">
        <v>10</v>
      </c>
      <c r="D207" s="371" t="s">
        <v>49</v>
      </c>
      <c r="E207" s="495"/>
      <c r="F207" s="190">
        <v>1983</v>
      </c>
      <c r="G207" s="506">
        <f t="shared" si="8"/>
        <v>0</v>
      </c>
      <c r="H207" s="507">
        <f aca="true" t="shared" si="9" ref="H207:H215">M207+Q207+U207+Y207+AC207+AG207+AK207+AO207+AS207+AW207+BA207+BE207+BI207+BM207+BQ207+BU207+BY207+CC207+CG207+CK207+CO207+CS207+CW207+DA207+DE207</f>
        <v>0</v>
      </c>
      <c r="I207" s="508">
        <v>1</v>
      </c>
      <c r="J207" s="524"/>
      <c r="K207" s="499"/>
      <c r="L207" s="526"/>
      <c r="M207" s="481"/>
      <c r="N207" s="524"/>
      <c r="O207" s="499"/>
      <c r="P207" s="516"/>
      <c r="Q207" s="481"/>
      <c r="R207" s="524"/>
      <c r="S207" s="499"/>
      <c r="T207" s="516"/>
      <c r="U207" s="491"/>
      <c r="V207" s="524"/>
      <c r="W207" s="499"/>
      <c r="X207" s="516"/>
      <c r="Y207" s="481"/>
      <c r="Z207" s="524"/>
      <c r="AA207" s="499"/>
      <c r="AB207" s="516"/>
      <c r="AC207" s="481"/>
      <c r="AD207" s="524"/>
      <c r="AE207" s="524"/>
      <c r="AF207" s="516"/>
      <c r="AG207" s="491"/>
      <c r="AH207" s="524"/>
      <c r="AI207" s="524"/>
      <c r="AJ207" s="516"/>
      <c r="AK207" s="481"/>
      <c r="AL207" s="524"/>
      <c r="AM207" s="537"/>
      <c r="AN207" s="526"/>
      <c r="AO207" s="481"/>
      <c r="AP207" s="524"/>
      <c r="AQ207" s="499"/>
      <c r="AR207" s="498"/>
      <c r="AS207" s="481"/>
      <c r="AT207" s="499"/>
      <c r="AU207" s="499"/>
      <c r="AV207" s="526"/>
      <c r="AW207" s="481"/>
      <c r="AX207" s="524"/>
      <c r="AY207" s="524"/>
      <c r="AZ207" s="516"/>
      <c r="BA207" s="515"/>
      <c r="BB207" s="499"/>
      <c r="BC207" s="499"/>
      <c r="BD207" s="516"/>
      <c r="BE207" s="481"/>
      <c r="BF207" s="499"/>
      <c r="BG207" s="499"/>
      <c r="BH207" s="526"/>
      <c r="BI207" s="481"/>
      <c r="BJ207" s="509"/>
      <c r="BK207" s="509"/>
      <c r="BL207" s="520"/>
      <c r="BM207" s="515"/>
      <c r="BN207" s="509"/>
      <c r="BO207" s="509"/>
      <c r="BP207" s="520"/>
      <c r="BQ207" s="515"/>
      <c r="BR207" s="509"/>
      <c r="BS207" s="509"/>
      <c r="BT207" s="520"/>
      <c r="BU207" s="515"/>
      <c r="BV207" s="499"/>
      <c r="BW207" s="499"/>
      <c r="BX207" s="516"/>
      <c r="BY207" s="481"/>
      <c r="BZ207" s="499"/>
      <c r="CA207" s="499"/>
      <c r="CB207" s="526"/>
      <c r="CC207" s="481"/>
      <c r="CD207" s="509" t="s">
        <v>292</v>
      </c>
      <c r="CE207" s="509" t="s">
        <v>1</v>
      </c>
      <c r="CF207" s="501" t="s">
        <v>358</v>
      </c>
      <c r="CG207" s="481">
        <v>0</v>
      </c>
      <c r="CH207" s="499"/>
      <c r="CI207" s="499"/>
      <c r="CJ207" s="526"/>
      <c r="CK207" s="481"/>
      <c r="CL207" s="499"/>
      <c r="CM207" s="499"/>
      <c r="CN207" s="526"/>
      <c r="CO207" s="481"/>
      <c r="CP207" s="499"/>
      <c r="CQ207" s="499"/>
      <c r="CR207" s="526"/>
      <c r="CS207" s="481"/>
      <c r="CT207" s="499"/>
      <c r="CU207" s="499"/>
      <c r="CV207" s="526"/>
      <c r="CW207" s="481"/>
      <c r="CX207" s="509"/>
      <c r="CY207" s="509"/>
      <c r="CZ207" s="520"/>
      <c r="DA207" s="515"/>
      <c r="DB207" s="499"/>
      <c r="DC207" s="499"/>
      <c r="DD207" s="526"/>
      <c r="DE207" s="481"/>
      <c r="DF207" s="485"/>
      <c r="DG207" s="485"/>
    </row>
    <row r="208" spans="1:111" s="494" customFormat="1" ht="12.75">
      <c r="A208" s="504">
        <v>193</v>
      </c>
      <c r="B208" s="522" t="s">
        <v>818</v>
      </c>
      <c r="C208" s="371" t="s">
        <v>10</v>
      </c>
      <c r="D208" s="527" t="s">
        <v>117</v>
      </c>
      <c r="E208" s="528"/>
      <c r="F208" s="548">
        <v>1984</v>
      </c>
      <c r="G208" s="506">
        <f aca="true" t="shared" si="10" ref="G208:G215">H208</f>
        <v>0</v>
      </c>
      <c r="H208" s="507">
        <f t="shared" si="9"/>
        <v>0</v>
      </c>
      <c r="I208" s="508">
        <v>1</v>
      </c>
      <c r="J208" s="524"/>
      <c r="K208" s="499"/>
      <c r="L208" s="498"/>
      <c r="M208" s="491"/>
      <c r="N208" s="524"/>
      <c r="O208" s="499"/>
      <c r="P208" s="516"/>
      <c r="Q208" s="491"/>
      <c r="R208" s="524"/>
      <c r="S208" s="499"/>
      <c r="T208" s="498"/>
      <c r="U208" s="491"/>
      <c r="V208" s="524"/>
      <c r="W208" s="499"/>
      <c r="X208" s="498"/>
      <c r="Y208" s="491"/>
      <c r="Z208" s="524"/>
      <c r="AA208" s="499"/>
      <c r="AB208" s="498"/>
      <c r="AC208" s="491"/>
      <c r="AD208" s="524"/>
      <c r="AE208" s="524"/>
      <c r="AF208" s="498"/>
      <c r="AG208" s="491"/>
      <c r="AH208" s="524"/>
      <c r="AI208" s="524"/>
      <c r="AJ208" s="516"/>
      <c r="AK208" s="491"/>
      <c r="AL208" s="524"/>
      <c r="AM208" s="524"/>
      <c r="AN208" s="498"/>
      <c r="AO208" s="491"/>
      <c r="AP208" s="541"/>
      <c r="AQ208" s="509"/>
      <c r="AR208" s="501"/>
      <c r="AS208" s="502"/>
      <c r="AT208" s="509"/>
      <c r="AU208" s="509"/>
      <c r="AV208" s="501"/>
      <c r="AW208" s="502"/>
      <c r="AX208" s="499"/>
      <c r="AY208" s="499"/>
      <c r="AZ208" s="516"/>
      <c r="BA208" s="502"/>
      <c r="BB208" s="499"/>
      <c r="BC208" s="499"/>
      <c r="BD208" s="498"/>
      <c r="BE208" s="491"/>
      <c r="BF208" s="499"/>
      <c r="BG208" s="499"/>
      <c r="BH208" s="498"/>
      <c r="BI208" s="491"/>
      <c r="BJ208" s="499"/>
      <c r="BK208" s="499"/>
      <c r="BL208" s="516"/>
      <c r="BM208" s="502"/>
      <c r="BN208" s="509"/>
      <c r="BO208" s="509"/>
      <c r="BP208" s="501"/>
      <c r="BQ208" s="502"/>
      <c r="BR208" s="509"/>
      <c r="BS208" s="509"/>
      <c r="BT208" s="501"/>
      <c r="BU208" s="502"/>
      <c r="BV208" s="509"/>
      <c r="BW208" s="509"/>
      <c r="BX208" s="520"/>
      <c r="BY208" s="515"/>
      <c r="BZ208" s="499"/>
      <c r="CA208" s="499"/>
      <c r="CB208" s="516"/>
      <c r="CC208" s="481"/>
      <c r="CD208" s="509" t="s">
        <v>372</v>
      </c>
      <c r="CE208" s="509" t="s">
        <v>2</v>
      </c>
      <c r="CF208" s="501" t="s">
        <v>358</v>
      </c>
      <c r="CG208" s="481">
        <v>0</v>
      </c>
      <c r="CH208" s="499"/>
      <c r="CI208" s="499"/>
      <c r="CJ208" s="516"/>
      <c r="CK208" s="481"/>
      <c r="CL208" s="499"/>
      <c r="CM208" s="499"/>
      <c r="CN208" s="516"/>
      <c r="CO208" s="481"/>
      <c r="CP208" s="499"/>
      <c r="CQ208" s="499"/>
      <c r="CR208" s="516"/>
      <c r="CS208" s="481"/>
      <c r="CT208" s="499"/>
      <c r="CU208" s="499"/>
      <c r="CV208" s="516"/>
      <c r="CW208" s="481"/>
      <c r="CX208" s="509"/>
      <c r="CY208" s="509"/>
      <c r="CZ208" s="520"/>
      <c r="DA208" s="515"/>
      <c r="DB208" s="499"/>
      <c r="DC208" s="499"/>
      <c r="DD208" s="526"/>
      <c r="DE208" s="481"/>
      <c r="DF208" s="485"/>
      <c r="DG208" s="485"/>
    </row>
    <row r="209" spans="1:111" s="494" customFormat="1" ht="12.75">
      <c r="A209" s="504">
        <v>193</v>
      </c>
      <c r="B209" s="505" t="s">
        <v>116</v>
      </c>
      <c r="C209" s="371" t="s">
        <v>10</v>
      </c>
      <c r="D209" s="371" t="s">
        <v>356</v>
      </c>
      <c r="E209" s="495"/>
      <c r="F209" s="548">
        <v>1983</v>
      </c>
      <c r="G209" s="506">
        <f t="shared" si="10"/>
        <v>0</v>
      </c>
      <c r="H209" s="507">
        <f t="shared" si="9"/>
        <v>0</v>
      </c>
      <c r="I209" s="508">
        <v>1</v>
      </c>
      <c r="J209" s="509" t="s">
        <v>547</v>
      </c>
      <c r="K209" s="509" t="s">
        <v>1</v>
      </c>
      <c r="L209" s="509" t="s">
        <v>358</v>
      </c>
      <c r="M209" s="481">
        <v>0</v>
      </c>
      <c r="N209" s="524"/>
      <c r="O209" s="499"/>
      <c r="P209" s="498"/>
      <c r="Q209" s="491"/>
      <c r="R209" s="524"/>
      <c r="S209" s="499"/>
      <c r="T209" s="516"/>
      <c r="U209" s="481"/>
      <c r="V209" s="524"/>
      <c r="W209" s="499"/>
      <c r="X209" s="516"/>
      <c r="Y209" s="481"/>
      <c r="Z209" s="524"/>
      <c r="AA209" s="499"/>
      <c r="AB209" s="516"/>
      <c r="AC209" s="481"/>
      <c r="AD209" s="524"/>
      <c r="AE209" s="537"/>
      <c r="AF209" s="516"/>
      <c r="AG209" s="491"/>
      <c r="AH209" s="524"/>
      <c r="AI209" s="537"/>
      <c r="AJ209" s="516"/>
      <c r="AK209" s="481"/>
      <c r="AL209" s="524"/>
      <c r="AM209" s="537"/>
      <c r="AN209" s="526"/>
      <c r="AO209" s="481"/>
      <c r="AP209" s="524"/>
      <c r="AQ209" s="524"/>
      <c r="AR209" s="535"/>
      <c r="AS209" s="481"/>
      <c r="AT209" s="499"/>
      <c r="AU209" s="499"/>
      <c r="AV209" s="526"/>
      <c r="AW209" s="481"/>
      <c r="AX209" s="499"/>
      <c r="AY209" s="499"/>
      <c r="AZ209" s="526"/>
      <c r="BA209" s="481"/>
      <c r="BB209" s="499"/>
      <c r="BC209" s="499"/>
      <c r="BD209" s="516"/>
      <c r="BE209" s="481"/>
      <c r="BF209" s="499"/>
      <c r="BG209" s="499"/>
      <c r="BH209" s="526"/>
      <c r="BI209" s="481"/>
      <c r="BJ209" s="499"/>
      <c r="BK209" s="499"/>
      <c r="BL209" s="516"/>
      <c r="BM209" s="491"/>
      <c r="BN209" s="499"/>
      <c r="BO209" s="499"/>
      <c r="BP209" s="516"/>
      <c r="BQ209" s="481"/>
      <c r="BR209" s="499"/>
      <c r="BS209" s="499"/>
      <c r="BT209" s="516"/>
      <c r="BU209" s="481"/>
      <c r="BV209" s="499"/>
      <c r="BW209" s="499"/>
      <c r="BX209" s="526"/>
      <c r="BY209" s="481"/>
      <c r="BZ209" s="499"/>
      <c r="CA209" s="499"/>
      <c r="CB209" s="526"/>
      <c r="CC209" s="481"/>
      <c r="CD209" s="499"/>
      <c r="CE209" s="499"/>
      <c r="CF209" s="526"/>
      <c r="CG209" s="481"/>
      <c r="CH209" s="509"/>
      <c r="CI209" s="509"/>
      <c r="CJ209" s="520"/>
      <c r="CK209" s="515"/>
      <c r="CL209" s="509"/>
      <c r="CM209" s="509"/>
      <c r="CN209" s="520"/>
      <c r="CO209" s="515"/>
      <c r="CP209" s="509"/>
      <c r="CQ209" s="509"/>
      <c r="CR209" s="526"/>
      <c r="CS209" s="481"/>
      <c r="CT209" s="499"/>
      <c r="CU209" s="499"/>
      <c r="CV209" s="526"/>
      <c r="CW209" s="481"/>
      <c r="CX209" s="509"/>
      <c r="CY209" s="509"/>
      <c r="CZ209" s="520"/>
      <c r="DA209" s="515"/>
      <c r="DB209" s="499"/>
      <c r="DC209" s="499"/>
      <c r="DD209" s="516"/>
      <c r="DE209" s="481"/>
      <c r="DF209" s="485"/>
      <c r="DG209" s="485"/>
    </row>
    <row r="210" spans="1:111" s="494" customFormat="1" ht="12.75">
      <c r="A210" s="504">
        <v>193</v>
      </c>
      <c r="B210" s="505" t="s">
        <v>221</v>
      </c>
      <c r="C210" s="371" t="s">
        <v>10</v>
      </c>
      <c r="D210" s="371" t="s">
        <v>69</v>
      </c>
      <c r="E210" s="495"/>
      <c r="F210" s="190">
        <v>1998</v>
      </c>
      <c r="G210" s="506">
        <f t="shared" si="10"/>
        <v>0</v>
      </c>
      <c r="H210" s="507">
        <f t="shared" si="9"/>
        <v>0</v>
      </c>
      <c r="I210" s="508">
        <v>1</v>
      </c>
      <c r="J210" s="524"/>
      <c r="K210" s="499"/>
      <c r="L210" s="516"/>
      <c r="M210" s="481"/>
      <c r="N210" s="524"/>
      <c r="O210" s="499"/>
      <c r="P210" s="516"/>
      <c r="Q210" s="481"/>
      <c r="R210" s="524"/>
      <c r="S210" s="499"/>
      <c r="T210" s="516"/>
      <c r="U210" s="481"/>
      <c r="V210" s="524"/>
      <c r="W210" s="499"/>
      <c r="X210" s="516"/>
      <c r="Y210" s="481"/>
      <c r="Z210" s="524"/>
      <c r="AA210" s="499"/>
      <c r="AB210" s="516"/>
      <c r="AC210" s="481"/>
      <c r="AD210" s="524"/>
      <c r="AE210" s="524"/>
      <c r="AF210" s="516"/>
      <c r="AG210" s="491"/>
      <c r="AH210" s="524"/>
      <c r="AI210" s="537"/>
      <c r="AJ210" s="516"/>
      <c r="AK210" s="481"/>
      <c r="AL210" s="524"/>
      <c r="AM210" s="537"/>
      <c r="AN210" s="526"/>
      <c r="AO210" s="481"/>
      <c r="AP210" s="524"/>
      <c r="AQ210" s="499"/>
      <c r="AR210" s="498"/>
      <c r="AS210" s="481"/>
      <c r="AT210" s="499"/>
      <c r="AU210" s="499"/>
      <c r="AV210" s="526"/>
      <c r="AW210" s="481"/>
      <c r="AX210" s="524"/>
      <c r="AY210" s="524"/>
      <c r="AZ210" s="516"/>
      <c r="BA210" s="515"/>
      <c r="BB210" s="499"/>
      <c r="BC210" s="499"/>
      <c r="BD210" s="516"/>
      <c r="BE210" s="481"/>
      <c r="BF210" s="499"/>
      <c r="BG210" s="499"/>
      <c r="BH210" s="526"/>
      <c r="BI210" s="481"/>
      <c r="BJ210" s="509"/>
      <c r="BK210" s="509"/>
      <c r="BL210" s="520"/>
      <c r="BM210" s="515"/>
      <c r="BN210" s="509"/>
      <c r="BO210" s="509"/>
      <c r="BP210" s="520"/>
      <c r="BQ210" s="515"/>
      <c r="BR210" s="509"/>
      <c r="BS210" s="509"/>
      <c r="BT210" s="520"/>
      <c r="BU210" s="515"/>
      <c r="BV210" s="499"/>
      <c r="BW210" s="499"/>
      <c r="BX210" s="516"/>
      <c r="BY210" s="481"/>
      <c r="BZ210" s="499"/>
      <c r="CA210" s="499"/>
      <c r="CB210" s="526"/>
      <c r="CC210" s="481"/>
      <c r="CD210" s="509" t="s">
        <v>643</v>
      </c>
      <c r="CE210" s="509" t="s">
        <v>1</v>
      </c>
      <c r="CF210" s="501" t="s">
        <v>358</v>
      </c>
      <c r="CG210" s="481">
        <v>0</v>
      </c>
      <c r="CH210" s="509"/>
      <c r="CI210" s="509"/>
      <c r="CJ210" s="520"/>
      <c r="CK210" s="515"/>
      <c r="CL210" s="509"/>
      <c r="CM210" s="509"/>
      <c r="CN210" s="520"/>
      <c r="CO210" s="515"/>
      <c r="CP210" s="509"/>
      <c r="CQ210" s="509"/>
      <c r="CR210" s="516"/>
      <c r="CS210" s="481"/>
      <c r="CT210" s="499"/>
      <c r="CU210" s="499"/>
      <c r="CV210" s="516"/>
      <c r="CW210" s="481"/>
      <c r="CX210" s="509"/>
      <c r="CY210" s="509"/>
      <c r="CZ210" s="520"/>
      <c r="DA210" s="515"/>
      <c r="DB210" s="499"/>
      <c r="DC210" s="499"/>
      <c r="DD210" s="516"/>
      <c r="DE210" s="481"/>
      <c r="DF210" s="485"/>
      <c r="DG210" s="485"/>
    </row>
    <row r="211" spans="1:111" s="494" customFormat="1" ht="12.75">
      <c r="A211" s="504">
        <v>193</v>
      </c>
      <c r="B211" s="522" t="s">
        <v>858</v>
      </c>
      <c r="C211" s="371" t="s">
        <v>131</v>
      </c>
      <c r="D211" s="371"/>
      <c r="E211" s="495"/>
      <c r="F211" s="548"/>
      <c r="G211" s="506">
        <f t="shared" si="10"/>
        <v>0</v>
      </c>
      <c r="H211" s="507">
        <f t="shared" si="9"/>
        <v>0</v>
      </c>
      <c r="I211" s="508">
        <v>1</v>
      </c>
      <c r="J211" s="524"/>
      <c r="K211" s="499"/>
      <c r="L211" s="498"/>
      <c r="M211" s="491"/>
      <c r="N211" s="524"/>
      <c r="O211" s="499"/>
      <c r="P211" s="516"/>
      <c r="Q211" s="491"/>
      <c r="R211" s="524"/>
      <c r="S211" s="499"/>
      <c r="T211" s="498"/>
      <c r="U211" s="491"/>
      <c r="V211" s="524"/>
      <c r="W211" s="499"/>
      <c r="X211" s="498"/>
      <c r="Y211" s="491"/>
      <c r="Z211" s="524"/>
      <c r="AA211" s="499"/>
      <c r="AB211" s="498"/>
      <c r="AC211" s="491"/>
      <c r="AD211" s="524"/>
      <c r="AE211" s="524"/>
      <c r="AF211" s="498"/>
      <c r="AG211" s="491"/>
      <c r="AH211" s="524"/>
      <c r="AI211" s="524"/>
      <c r="AJ211" s="516"/>
      <c r="AK211" s="491"/>
      <c r="AL211" s="524"/>
      <c r="AM211" s="524"/>
      <c r="AN211" s="498"/>
      <c r="AO211" s="491"/>
      <c r="AP211" s="541"/>
      <c r="AQ211" s="509"/>
      <c r="AR211" s="501"/>
      <c r="AS211" s="502"/>
      <c r="AT211" s="509"/>
      <c r="AU211" s="509"/>
      <c r="AV211" s="501"/>
      <c r="AW211" s="502"/>
      <c r="AX211" s="499"/>
      <c r="AY211" s="499"/>
      <c r="AZ211" s="516"/>
      <c r="BA211" s="502"/>
      <c r="BB211" s="499"/>
      <c r="BC211" s="499"/>
      <c r="BD211" s="498"/>
      <c r="BE211" s="491"/>
      <c r="BF211" s="499"/>
      <c r="BG211" s="499"/>
      <c r="BH211" s="498"/>
      <c r="BI211" s="491"/>
      <c r="BJ211" s="499"/>
      <c r="BK211" s="499"/>
      <c r="BL211" s="516"/>
      <c r="BM211" s="502"/>
      <c r="BN211" s="509"/>
      <c r="BO211" s="509"/>
      <c r="BP211" s="501"/>
      <c r="BQ211" s="502"/>
      <c r="BR211" s="509"/>
      <c r="BS211" s="509"/>
      <c r="BT211" s="501"/>
      <c r="BU211" s="502"/>
      <c r="BV211" s="509"/>
      <c r="BW211" s="509"/>
      <c r="BX211" s="520"/>
      <c r="BY211" s="515"/>
      <c r="BZ211" s="499"/>
      <c r="CA211" s="499"/>
      <c r="CB211" s="516"/>
      <c r="CC211" s="481"/>
      <c r="CD211" s="509"/>
      <c r="CE211" s="509"/>
      <c r="CF211" s="513"/>
      <c r="CG211" s="481"/>
      <c r="CH211" s="499"/>
      <c r="CI211" s="499"/>
      <c r="CJ211" s="526"/>
      <c r="CK211" s="481"/>
      <c r="CL211" s="499"/>
      <c r="CM211" s="499"/>
      <c r="CN211" s="526"/>
      <c r="CO211" s="481"/>
      <c r="CP211" s="499"/>
      <c r="CQ211" s="499"/>
      <c r="CR211" s="509"/>
      <c r="CS211" s="481"/>
      <c r="CT211" s="499" t="s">
        <v>854</v>
      </c>
      <c r="CU211" s="499" t="s">
        <v>2</v>
      </c>
      <c r="CV211" s="509" t="s">
        <v>358</v>
      </c>
      <c r="CW211" s="481">
        <v>0</v>
      </c>
      <c r="CX211" s="509"/>
      <c r="CY211" s="509"/>
      <c r="CZ211" s="520"/>
      <c r="DA211" s="515"/>
      <c r="DB211" s="499"/>
      <c r="DC211" s="499"/>
      <c r="DD211" s="526"/>
      <c r="DE211" s="481"/>
      <c r="DF211" s="485"/>
      <c r="DG211" s="485"/>
    </row>
    <row r="212" spans="1:109" s="494" customFormat="1" ht="12.75">
      <c r="A212" s="504">
        <v>193</v>
      </c>
      <c r="B212" s="505" t="s">
        <v>82</v>
      </c>
      <c r="C212" s="371" t="s">
        <v>10</v>
      </c>
      <c r="D212" s="371" t="s">
        <v>83</v>
      </c>
      <c r="E212" s="495" t="s">
        <v>375</v>
      </c>
      <c r="F212" s="548">
        <v>1959</v>
      </c>
      <c r="G212" s="506">
        <f t="shared" si="10"/>
        <v>0</v>
      </c>
      <c r="H212" s="507">
        <f t="shared" si="9"/>
        <v>0</v>
      </c>
      <c r="I212" s="508">
        <v>1</v>
      </c>
      <c r="J212" s="524" t="s">
        <v>572</v>
      </c>
      <c r="K212" s="499" t="s">
        <v>2</v>
      </c>
      <c r="L212" s="498" t="s">
        <v>358</v>
      </c>
      <c r="M212" s="491">
        <v>0</v>
      </c>
      <c r="N212" s="524"/>
      <c r="O212" s="499"/>
      <c r="P212" s="498"/>
      <c r="Q212" s="491"/>
      <c r="R212" s="524"/>
      <c r="S212" s="499"/>
      <c r="T212" s="498"/>
      <c r="U212" s="491"/>
      <c r="V212" s="524"/>
      <c r="W212" s="499"/>
      <c r="X212" s="498"/>
      <c r="Y212" s="491"/>
      <c r="Z212" s="524"/>
      <c r="AA212" s="499"/>
      <c r="AB212" s="498"/>
      <c r="AC212" s="491"/>
      <c r="AD212" s="524"/>
      <c r="AE212" s="524"/>
      <c r="AF212" s="516"/>
      <c r="AG212" s="491"/>
      <c r="AH212" s="524"/>
      <c r="AI212" s="524"/>
      <c r="AJ212" s="516"/>
      <c r="AK212" s="481"/>
      <c r="AL212" s="524"/>
      <c r="AM212" s="537"/>
      <c r="AN212" s="526"/>
      <c r="AO212" s="481"/>
      <c r="AP212" s="524"/>
      <c r="AQ212" s="498"/>
      <c r="AR212" s="516"/>
      <c r="AS212" s="481"/>
      <c r="AT212" s="509"/>
      <c r="AU212" s="509"/>
      <c r="AV212" s="513"/>
      <c r="AW212" s="515"/>
      <c r="AX212" s="509"/>
      <c r="AY212" s="509"/>
      <c r="AZ212" s="513"/>
      <c r="BA212" s="515"/>
      <c r="BB212" s="499"/>
      <c r="BC212" s="499"/>
      <c r="BD212" s="516"/>
      <c r="BE212" s="481"/>
      <c r="BF212" s="499"/>
      <c r="BG212" s="499"/>
      <c r="BH212" s="526"/>
      <c r="BI212" s="481"/>
      <c r="BJ212" s="499"/>
      <c r="BK212" s="499"/>
      <c r="BL212" s="516"/>
      <c r="BM212" s="481"/>
      <c r="BN212" s="499"/>
      <c r="BO212" s="499"/>
      <c r="BP212" s="526"/>
      <c r="BQ212" s="481"/>
      <c r="BR212" s="499"/>
      <c r="BS212" s="499"/>
      <c r="BT212" s="526"/>
      <c r="BU212" s="481"/>
      <c r="BV212" s="499"/>
      <c r="BW212" s="499"/>
      <c r="BX212" s="516"/>
      <c r="BY212" s="481"/>
      <c r="BZ212" s="499"/>
      <c r="CA212" s="499"/>
      <c r="CB212" s="526"/>
      <c r="CC212" s="481"/>
      <c r="CD212" s="499"/>
      <c r="CE212" s="499"/>
      <c r="CF212" s="526"/>
      <c r="CG212" s="481"/>
      <c r="CH212" s="509"/>
      <c r="CI212" s="509"/>
      <c r="CJ212" s="520"/>
      <c r="CK212" s="515"/>
      <c r="CL212" s="509"/>
      <c r="CM212" s="509"/>
      <c r="CN212" s="520"/>
      <c r="CO212" s="515"/>
      <c r="CP212" s="509"/>
      <c r="CQ212" s="509"/>
      <c r="CR212" s="516"/>
      <c r="CS212" s="481"/>
      <c r="CT212" s="499"/>
      <c r="CU212" s="499"/>
      <c r="CV212" s="516"/>
      <c r="CW212" s="481"/>
      <c r="CX212" s="509"/>
      <c r="CY212" s="509"/>
      <c r="CZ212" s="520"/>
      <c r="DA212" s="515"/>
      <c r="DB212" s="499"/>
      <c r="DC212" s="499"/>
      <c r="DD212" s="526"/>
      <c r="DE212" s="481"/>
    </row>
    <row r="213" spans="1:111" ht="12.75">
      <c r="A213" s="504">
        <v>193</v>
      </c>
      <c r="B213" s="522" t="s">
        <v>580</v>
      </c>
      <c r="C213" s="371" t="s">
        <v>10</v>
      </c>
      <c r="D213" s="485"/>
      <c r="E213" s="495" t="s">
        <v>359</v>
      </c>
      <c r="F213" s="548"/>
      <c r="G213" s="506">
        <f t="shared" si="10"/>
        <v>0</v>
      </c>
      <c r="H213" s="507">
        <f t="shared" si="9"/>
        <v>0</v>
      </c>
      <c r="I213" s="508">
        <v>1</v>
      </c>
      <c r="J213" s="524"/>
      <c r="K213" s="499"/>
      <c r="L213" s="516"/>
      <c r="M213" s="491"/>
      <c r="N213" s="524"/>
      <c r="O213" s="499"/>
      <c r="Q213" s="481"/>
      <c r="R213" s="524"/>
      <c r="S213" s="499"/>
      <c r="U213" s="491"/>
      <c r="V213" s="524"/>
      <c r="W213" s="499"/>
      <c r="Y213" s="491"/>
      <c r="Z213" s="524" t="s">
        <v>397</v>
      </c>
      <c r="AA213" s="499" t="s">
        <v>173</v>
      </c>
      <c r="AB213" s="513" t="s">
        <v>358</v>
      </c>
      <c r="AC213" s="481">
        <v>0</v>
      </c>
      <c r="AD213" s="524"/>
      <c r="AE213" s="524"/>
      <c r="AF213" s="516"/>
      <c r="AG213" s="491"/>
      <c r="AH213" s="524"/>
      <c r="AI213" s="524"/>
      <c r="AJ213" s="516"/>
      <c r="AK213" s="481"/>
      <c r="AL213" s="524"/>
      <c r="AM213" s="537"/>
      <c r="AN213" s="526"/>
      <c r="AO213" s="481"/>
      <c r="AP213" s="524"/>
      <c r="AQ213" s="498"/>
      <c r="AR213" s="516"/>
      <c r="AS213" s="481"/>
      <c r="AT213" s="509"/>
      <c r="AU213" s="509"/>
      <c r="AV213" s="513"/>
      <c r="AW213" s="515"/>
      <c r="AX213" s="509"/>
      <c r="AY213" s="509"/>
      <c r="AZ213" s="513"/>
      <c r="BA213" s="515"/>
      <c r="BB213" s="499"/>
      <c r="BC213" s="499"/>
      <c r="BD213" s="516"/>
      <c r="BE213" s="481"/>
      <c r="BF213" s="499"/>
      <c r="BG213" s="499"/>
      <c r="BH213" s="526"/>
      <c r="BI213" s="481"/>
      <c r="BJ213" s="499"/>
      <c r="BK213" s="499"/>
      <c r="BL213" s="516"/>
      <c r="BM213" s="481"/>
      <c r="BN213" s="499"/>
      <c r="BO213" s="499"/>
      <c r="BP213" s="526"/>
      <c r="BQ213" s="481"/>
      <c r="BR213" s="499"/>
      <c r="BS213" s="499"/>
      <c r="BT213" s="526"/>
      <c r="BU213" s="481"/>
      <c r="BV213" s="499"/>
      <c r="BW213" s="499"/>
      <c r="BX213" s="516"/>
      <c r="BY213" s="481"/>
      <c r="BZ213" s="499"/>
      <c r="CA213" s="499"/>
      <c r="CB213" s="526"/>
      <c r="CC213" s="481"/>
      <c r="CD213" s="499"/>
      <c r="CE213" s="499"/>
      <c r="CF213" s="526"/>
      <c r="CG213" s="481"/>
      <c r="CH213" s="509"/>
      <c r="CI213" s="509"/>
      <c r="CJ213" s="520"/>
      <c r="CK213" s="515"/>
      <c r="CL213" s="509"/>
      <c r="CM213" s="509"/>
      <c r="CN213" s="520"/>
      <c r="CO213" s="515"/>
      <c r="CP213" s="509"/>
      <c r="CQ213" s="509"/>
      <c r="CR213" s="516"/>
      <c r="CS213" s="481"/>
      <c r="CT213" s="499"/>
      <c r="CU213" s="499"/>
      <c r="CV213" s="516"/>
      <c r="CW213" s="481"/>
      <c r="CX213" s="509"/>
      <c r="CY213" s="509"/>
      <c r="CZ213" s="520"/>
      <c r="DA213" s="515"/>
      <c r="DB213" s="499"/>
      <c r="DC213" s="499"/>
      <c r="DD213" s="526"/>
      <c r="DE213" s="481"/>
      <c r="DF213" s="494"/>
      <c r="DG213" s="494"/>
    </row>
    <row r="214" spans="1:109" s="494" customFormat="1" ht="12.75">
      <c r="A214" s="504">
        <v>193</v>
      </c>
      <c r="B214" s="522" t="s">
        <v>744</v>
      </c>
      <c r="C214" s="371" t="s">
        <v>10</v>
      </c>
      <c r="D214" s="371"/>
      <c r="E214" s="495"/>
      <c r="F214" s="548"/>
      <c r="G214" s="506">
        <f t="shared" si="10"/>
        <v>0</v>
      </c>
      <c r="H214" s="507">
        <f t="shared" si="9"/>
        <v>0</v>
      </c>
      <c r="I214" s="508">
        <v>1</v>
      </c>
      <c r="J214" s="524"/>
      <c r="K214" s="499"/>
      <c r="L214" s="498"/>
      <c r="M214" s="491"/>
      <c r="N214" s="524"/>
      <c r="O214" s="499"/>
      <c r="P214" s="498"/>
      <c r="Q214" s="481"/>
      <c r="R214" s="524"/>
      <c r="S214" s="499"/>
      <c r="T214" s="498"/>
      <c r="U214" s="491"/>
      <c r="V214" s="524"/>
      <c r="W214" s="499"/>
      <c r="X214" s="498"/>
      <c r="Y214" s="491"/>
      <c r="Z214" s="524"/>
      <c r="AA214" s="499"/>
      <c r="AB214" s="498"/>
      <c r="AC214" s="491"/>
      <c r="AD214" s="524"/>
      <c r="AE214" s="524"/>
      <c r="AF214" s="516"/>
      <c r="AG214" s="491"/>
      <c r="AH214" s="524"/>
      <c r="AI214" s="524"/>
      <c r="AJ214" s="516"/>
      <c r="AK214" s="481"/>
      <c r="AL214" s="524"/>
      <c r="AM214" s="524"/>
      <c r="AN214" s="498"/>
      <c r="AO214" s="481"/>
      <c r="AP214" s="524"/>
      <c r="AQ214" s="498"/>
      <c r="AR214" s="516"/>
      <c r="AS214" s="481"/>
      <c r="AT214" s="509"/>
      <c r="AU214" s="509"/>
      <c r="AV214" s="513"/>
      <c r="AW214" s="515"/>
      <c r="AX214" s="509"/>
      <c r="AY214" s="509"/>
      <c r="AZ214" s="513"/>
      <c r="BA214" s="515"/>
      <c r="BB214" s="499"/>
      <c r="BC214" s="499"/>
      <c r="BD214" s="516"/>
      <c r="BE214" s="481"/>
      <c r="BF214" s="499"/>
      <c r="BG214" s="499"/>
      <c r="BH214" s="526"/>
      <c r="BI214" s="481"/>
      <c r="BJ214" s="509" t="s">
        <v>700</v>
      </c>
      <c r="BK214" s="509" t="s">
        <v>1</v>
      </c>
      <c r="BL214" s="509" t="s">
        <v>358</v>
      </c>
      <c r="BM214" s="502">
        <v>0</v>
      </c>
      <c r="BN214" s="499"/>
      <c r="BO214" s="499"/>
      <c r="BP214" s="526"/>
      <c r="BQ214" s="481"/>
      <c r="BR214" s="499"/>
      <c r="BS214" s="499"/>
      <c r="BT214" s="526"/>
      <c r="BU214" s="481"/>
      <c r="BV214" s="499"/>
      <c r="BW214" s="499"/>
      <c r="BX214" s="516"/>
      <c r="BY214" s="481"/>
      <c r="BZ214" s="499"/>
      <c r="CA214" s="499"/>
      <c r="CB214" s="526"/>
      <c r="CC214" s="481"/>
      <c r="CD214" s="499"/>
      <c r="CE214" s="499"/>
      <c r="CF214" s="526"/>
      <c r="CG214" s="481"/>
      <c r="CH214" s="509"/>
      <c r="CI214" s="509"/>
      <c r="CJ214" s="520"/>
      <c r="CK214" s="515"/>
      <c r="CL214" s="509"/>
      <c r="CM214" s="509"/>
      <c r="CN214" s="520"/>
      <c r="CO214" s="515"/>
      <c r="CP214" s="509"/>
      <c r="CQ214" s="509"/>
      <c r="CR214" s="516"/>
      <c r="CS214" s="481"/>
      <c r="CT214" s="499"/>
      <c r="CU214" s="499"/>
      <c r="CV214" s="516"/>
      <c r="CW214" s="481"/>
      <c r="CX214" s="509"/>
      <c r="CY214" s="509"/>
      <c r="CZ214" s="520"/>
      <c r="DA214" s="515"/>
      <c r="DB214" s="499"/>
      <c r="DC214" s="499"/>
      <c r="DD214" s="516"/>
      <c r="DE214" s="481"/>
    </row>
    <row r="215" spans="1:109" ht="12.75">
      <c r="A215" s="504">
        <v>193</v>
      </c>
      <c r="B215" s="522" t="s">
        <v>805</v>
      </c>
      <c r="C215" s="371" t="s">
        <v>10</v>
      </c>
      <c r="D215" s="527" t="s">
        <v>117</v>
      </c>
      <c r="E215" s="528"/>
      <c r="G215" s="506">
        <f t="shared" si="10"/>
        <v>0</v>
      </c>
      <c r="H215" s="507">
        <f t="shared" si="9"/>
        <v>0</v>
      </c>
      <c r="I215" s="508">
        <v>1</v>
      </c>
      <c r="J215" s="524"/>
      <c r="K215" s="499"/>
      <c r="M215" s="491"/>
      <c r="N215" s="524"/>
      <c r="O215" s="499"/>
      <c r="Q215" s="481"/>
      <c r="R215" s="524"/>
      <c r="S215" s="499"/>
      <c r="U215" s="491"/>
      <c r="V215" s="524"/>
      <c r="W215" s="499"/>
      <c r="Y215" s="491"/>
      <c r="Z215" s="524"/>
      <c r="AA215" s="499"/>
      <c r="AC215" s="491"/>
      <c r="AD215" s="524"/>
      <c r="AE215" s="524"/>
      <c r="AF215" s="516"/>
      <c r="AG215" s="491"/>
      <c r="AH215" s="524"/>
      <c r="AI215" s="524"/>
      <c r="AJ215" s="516"/>
      <c r="AK215" s="481"/>
      <c r="AL215" s="524"/>
      <c r="AM215" s="524"/>
      <c r="AO215" s="481"/>
      <c r="AP215" s="524"/>
      <c r="AQ215" s="498"/>
      <c r="AR215" s="516"/>
      <c r="AS215" s="481"/>
      <c r="AT215" s="509"/>
      <c r="AU215" s="509"/>
      <c r="AV215" s="513"/>
      <c r="AW215" s="515"/>
      <c r="AX215" s="509"/>
      <c r="AY215" s="509"/>
      <c r="AZ215" s="513"/>
      <c r="BA215" s="515"/>
      <c r="BB215" s="499"/>
      <c r="BC215" s="499"/>
      <c r="BD215" s="516"/>
      <c r="BE215" s="481"/>
      <c r="BF215" s="499"/>
      <c r="BG215" s="499"/>
      <c r="BH215" s="526"/>
      <c r="BI215" s="481"/>
      <c r="BJ215" s="499"/>
      <c r="BK215" s="499"/>
      <c r="BL215" s="516"/>
      <c r="BM215" s="502"/>
      <c r="BN215" s="499"/>
      <c r="BO215" s="499"/>
      <c r="BP215" s="526"/>
      <c r="BQ215" s="481"/>
      <c r="BR215" s="499"/>
      <c r="BS215" s="499"/>
      <c r="BT215" s="526"/>
      <c r="BU215" s="481"/>
      <c r="BV215" s="499"/>
      <c r="BW215" s="499"/>
      <c r="BX215" s="516"/>
      <c r="BY215" s="481"/>
      <c r="BZ215" s="499"/>
      <c r="CA215" s="499"/>
      <c r="CB215" s="526"/>
      <c r="CC215" s="481"/>
      <c r="CD215" s="509" t="s">
        <v>292</v>
      </c>
      <c r="CE215" s="509" t="s">
        <v>1</v>
      </c>
      <c r="CF215" s="501" t="s">
        <v>358</v>
      </c>
      <c r="CG215" s="481">
        <v>0</v>
      </c>
      <c r="CH215" s="509"/>
      <c r="CI215" s="509"/>
      <c r="CJ215" s="520"/>
      <c r="CK215" s="515"/>
      <c r="CL215" s="509"/>
      <c r="CM215" s="509"/>
      <c r="CN215" s="520"/>
      <c r="CO215" s="515"/>
      <c r="CP215" s="509"/>
      <c r="CQ215" s="509"/>
      <c r="CR215" s="516"/>
      <c r="CS215" s="481"/>
      <c r="CT215" s="499"/>
      <c r="CU215" s="499"/>
      <c r="CV215" s="516"/>
      <c r="CW215" s="481"/>
      <c r="CX215" s="509"/>
      <c r="CY215" s="509"/>
      <c r="CZ215" s="520"/>
      <c r="DA215" s="515"/>
      <c r="DB215" s="509"/>
      <c r="DC215" s="509"/>
      <c r="DD215" s="520"/>
      <c r="DE215" s="515"/>
    </row>
    <row r="216" spans="1:109" s="494" customFormat="1" ht="12.75">
      <c r="A216" s="504"/>
      <c r="B216" s="523"/>
      <c r="C216" s="527"/>
      <c r="D216" s="527"/>
      <c r="E216" s="528"/>
      <c r="F216" s="190"/>
      <c r="G216" s="529"/>
      <c r="H216" s="530"/>
      <c r="I216" s="530"/>
      <c r="J216" s="497"/>
      <c r="K216" s="370"/>
      <c r="L216" s="498"/>
      <c r="M216" s="531"/>
      <c r="N216" s="497"/>
      <c r="O216" s="370"/>
      <c r="P216" s="516"/>
      <c r="Q216" s="532"/>
      <c r="R216" s="497"/>
      <c r="S216" s="370"/>
      <c r="T216" s="516"/>
      <c r="U216" s="532"/>
      <c r="V216" s="497"/>
      <c r="W216" s="370"/>
      <c r="X216" s="516"/>
      <c r="Y216" s="532"/>
      <c r="Z216" s="497"/>
      <c r="AA216" s="370"/>
      <c r="AB216" s="516"/>
      <c r="AC216" s="532"/>
      <c r="AD216" s="497"/>
      <c r="AE216" s="497"/>
      <c r="AF216" s="516"/>
      <c r="AG216" s="532"/>
      <c r="AH216" s="497"/>
      <c r="AI216" s="497"/>
      <c r="AJ216" s="516"/>
      <c r="AK216" s="532"/>
      <c r="AL216" s="497"/>
      <c r="AM216" s="517"/>
      <c r="AN216" s="510"/>
      <c r="AO216" s="532"/>
      <c r="AP216" s="497"/>
      <c r="AQ216" s="521"/>
      <c r="AR216" s="514"/>
      <c r="AS216" s="532"/>
      <c r="AT216" s="370"/>
      <c r="AU216" s="370"/>
      <c r="AV216" s="526"/>
      <c r="AW216" s="533"/>
      <c r="AX216" s="370"/>
      <c r="AY216" s="370"/>
      <c r="AZ216" s="516"/>
      <c r="BA216" s="532"/>
      <c r="BB216" s="370"/>
      <c r="BC216" s="370"/>
      <c r="BD216" s="516"/>
      <c r="BE216" s="533"/>
      <c r="BF216" s="370"/>
      <c r="BG216" s="370"/>
      <c r="BH216" s="516"/>
      <c r="BI216" s="532"/>
      <c r="BJ216" s="370"/>
      <c r="BK216" s="370"/>
      <c r="BL216" s="511"/>
      <c r="BM216" s="532"/>
      <c r="BN216" s="370"/>
      <c r="BO216" s="370"/>
      <c r="BP216" s="511"/>
      <c r="BQ216" s="532"/>
      <c r="BR216" s="370"/>
      <c r="BS216" s="370"/>
      <c r="BT216" s="511"/>
      <c r="BU216" s="532"/>
      <c r="BV216" s="370"/>
      <c r="BW216" s="370"/>
      <c r="BX216" s="511"/>
      <c r="BY216" s="532"/>
      <c r="BZ216" s="370"/>
      <c r="CA216" s="370"/>
      <c r="CB216" s="511"/>
      <c r="CC216" s="532"/>
      <c r="CD216" s="370"/>
      <c r="CE216" s="370"/>
      <c r="CF216" s="511"/>
      <c r="CG216" s="532"/>
      <c r="CH216" s="370"/>
      <c r="CI216" s="370"/>
      <c r="CJ216" s="511"/>
      <c r="CK216" s="532"/>
      <c r="CL216" s="370"/>
      <c r="CM216" s="370"/>
      <c r="CN216" s="511"/>
      <c r="CO216" s="532"/>
      <c r="CP216" s="370"/>
      <c r="CQ216" s="370"/>
      <c r="CR216" s="511"/>
      <c r="CS216" s="532"/>
      <c r="CT216" s="370"/>
      <c r="CU216" s="370"/>
      <c r="CV216" s="511"/>
      <c r="CW216" s="532"/>
      <c r="CX216" s="370"/>
      <c r="CY216" s="370"/>
      <c r="CZ216" s="511"/>
      <c r="DA216" s="532"/>
      <c r="DB216" s="370"/>
      <c r="DC216" s="370"/>
      <c r="DD216" s="511"/>
      <c r="DE216" s="532"/>
    </row>
    <row r="217" spans="1:109" s="494" customFormat="1" ht="12.75">
      <c r="A217" s="504"/>
      <c r="B217" s="523"/>
      <c r="C217" s="527"/>
      <c r="D217" s="527"/>
      <c r="E217" s="528"/>
      <c r="F217" s="190"/>
      <c r="G217" s="529"/>
      <c r="H217" s="530"/>
      <c r="I217" s="530"/>
      <c r="J217" s="497"/>
      <c r="K217" s="370"/>
      <c r="L217" s="498"/>
      <c r="M217" s="531"/>
      <c r="N217" s="497"/>
      <c r="O217" s="370"/>
      <c r="P217" s="516"/>
      <c r="Q217" s="532"/>
      <c r="R217" s="497"/>
      <c r="S217" s="370"/>
      <c r="T217" s="516"/>
      <c r="U217" s="532"/>
      <c r="V217" s="497"/>
      <c r="W217" s="370"/>
      <c r="X217" s="516"/>
      <c r="Y217" s="532"/>
      <c r="Z217" s="497"/>
      <c r="AA217" s="370"/>
      <c r="AB217" s="516"/>
      <c r="AC217" s="532"/>
      <c r="AD217" s="497"/>
      <c r="AE217" s="497"/>
      <c r="AF217" s="516"/>
      <c r="AG217" s="532"/>
      <c r="AH217" s="497"/>
      <c r="AI217" s="497"/>
      <c r="AJ217" s="516"/>
      <c r="AK217" s="532"/>
      <c r="AL217" s="497"/>
      <c r="AM217" s="517"/>
      <c r="AN217" s="510"/>
      <c r="AO217" s="532"/>
      <c r="AP217" s="497"/>
      <c r="AQ217" s="521"/>
      <c r="AR217" s="514"/>
      <c r="AS217" s="532"/>
      <c r="AT217" s="370"/>
      <c r="AU217" s="370"/>
      <c r="AV217" s="526"/>
      <c r="AW217" s="533"/>
      <c r="AX217" s="370"/>
      <c r="AY217" s="370"/>
      <c r="AZ217" s="516"/>
      <c r="BA217" s="532"/>
      <c r="BB217" s="370"/>
      <c r="BC217" s="370"/>
      <c r="BD217" s="516"/>
      <c r="BE217" s="533"/>
      <c r="BF217" s="370"/>
      <c r="BG217" s="370"/>
      <c r="BH217" s="516"/>
      <c r="BI217" s="532"/>
      <c r="BJ217" s="370"/>
      <c r="BK217" s="370"/>
      <c r="BL217" s="511"/>
      <c r="BM217" s="532"/>
      <c r="BN217" s="370"/>
      <c r="BO217" s="370"/>
      <c r="BP217" s="511"/>
      <c r="BQ217" s="532"/>
      <c r="BR217" s="370"/>
      <c r="BS217" s="370"/>
      <c r="BT217" s="511"/>
      <c r="BU217" s="532"/>
      <c r="BV217" s="370"/>
      <c r="BW217" s="370"/>
      <c r="BX217" s="511"/>
      <c r="BY217" s="532"/>
      <c r="BZ217" s="370"/>
      <c r="CA217" s="370"/>
      <c r="CB217" s="511"/>
      <c r="CC217" s="532"/>
      <c r="CD217" s="370"/>
      <c r="CE217" s="370"/>
      <c r="CF217" s="511"/>
      <c r="CG217" s="532"/>
      <c r="CH217" s="370"/>
      <c r="CI217" s="370"/>
      <c r="CJ217" s="511"/>
      <c r="CK217" s="532"/>
      <c r="CL217" s="370"/>
      <c r="CM217" s="370"/>
      <c r="CN217" s="511"/>
      <c r="CO217" s="532"/>
      <c r="CP217" s="370"/>
      <c r="CQ217" s="370"/>
      <c r="CR217" s="511"/>
      <c r="CS217" s="532"/>
      <c r="CT217" s="370"/>
      <c r="CU217" s="370"/>
      <c r="CV217" s="511"/>
      <c r="CW217" s="532"/>
      <c r="CX217" s="370"/>
      <c r="CY217" s="370"/>
      <c r="CZ217" s="511"/>
      <c r="DA217" s="532"/>
      <c r="DB217" s="370"/>
      <c r="DC217" s="370"/>
      <c r="DD217" s="511"/>
      <c r="DE217" s="532"/>
    </row>
    <row r="218" spans="1:109" s="494" customFormat="1" ht="12.75">
      <c r="A218" s="504"/>
      <c r="B218" s="523"/>
      <c r="C218" s="527"/>
      <c r="D218" s="527"/>
      <c r="E218" s="528"/>
      <c r="F218" s="190"/>
      <c r="G218" s="529"/>
      <c r="H218" s="530"/>
      <c r="I218" s="530"/>
      <c r="J218" s="497"/>
      <c r="K218" s="370"/>
      <c r="L218" s="498"/>
      <c r="M218" s="531"/>
      <c r="N218" s="497"/>
      <c r="O218" s="370"/>
      <c r="P218" s="516"/>
      <c r="Q218" s="532"/>
      <c r="R218" s="497"/>
      <c r="S218" s="370"/>
      <c r="T218" s="516"/>
      <c r="U218" s="532"/>
      <c r="V218" s="497"/>
      <c r="W218" s="370"/>
      <c r="X218" s="516"/>
      <c r="Y218" s="532"/>
      <c r="Z218" s="497"/>
      <c r="AA218" s="370"/>
      <c r="AB218" s="516"/>
      <c r="AC218" s="532"/>
      <c r="AD218" s="497"/>
      <c r="AE218" s="497"/>
      <c r="AF218" s="516"/>
      <c r="AG218" s="532"/>
      <c r="AH218" s="497"/>
      <c r="AI218" s="497"/>
      <c r="AJ218" s="516"/>
      <c r="AK218" s="532"/>
      <c r="AL218" s="497"/>
      <c r="AM218" s="517"/>
      <c r="AN218" s="510"/>
      <c r="AO218" s="532"/>
      <c r="AP218" s="497"/>
      <c r="AQ218" s="521"/>
      <c r="AR218" s="514"/>
      <c r="AS218" s="532"/>
      <c r="AT218" s="370"/>
      <c r="AU218" s="370"/>
      <c r="AV218" s="526"/>
      <c r="AW218" s="533"/>
      <c r="AX218" s="370"/>
      <c r="AY218" s="370"/>
      <c r="AZ218" s="516"/>
      <c r="BA218" s="532"/>
      <c r="BB218" s="370"/>
      <c r="BC218" s="370"/>
      <c r="BD218" s="516"/>
      <c r="BE218" s="533"/>
      <c r="BF218" s="370"/>
      <c r="BG218" s="370"/>
      <c r="BH218" s="516"/>
      <c r="BI218" s="532"/>
      <c r="BJ218" s="370"/>
      <c r="BK218" s="370"/>
      <c r="BL218" s="511"/>
      <c r="BM218" s="532"/>
      <c r="BN218" s="370"/>
      <c r="BO218" s="370"/>
      <c r="BP218" s="511"/>
      <c r="BQ218" s="532"/>
      <c r="BR218" s="370"/>
      <c r="BS218" s="370"/>
      <c r="BT218" s="511"/>
      <c r="BU218" s="532"/>
      <c r="BV218" s="370"/>
      <c r="BW218" s="370"/>
      <c r="BX218" s="511"/>
      <c r="BY218" s="532"/>
      <c r="BZ218" s="370"/>
      <c r="CA218" s="370"/>
      <c r="CB218" s="511"/>
      <c r="CC218" s="532"/>
      <c r="CD218" s="370"/>
      <c r="CE218" s="370"/>
      <c r="CF218" s="511"/>
      <c r="CG218" s="532"/>
      <c r="CH218" s="370"/>
      <c r="CI218" s="370"/>
      <c r="CJ218" s="511"/>
      <c r="CK218" s="532"/>
      <c r="CL218" s="370"/>
      <c r="CM218" s="370"/>
      <c r="CN218" s="511"/>
      <c r="CO218" s="532"/>
      <c r="CP218" s="370"/>
      <c r="CQ218" s="370"/>
      <c r="CR218" s="511"/>
      <c r="CS218" s="532"/>
      <c r="CT218" s="370"/>
      <c r="CU218" s="370"/>
      <c r="CV218" s="511"/>
      <c r="CW218" s="532"/>
      <c r="CX218" s="370"/>
      <c r="CY218" s="370"/>
      <c r="CZ218" s="511"/>
      <c r="DA218" s="532"/>
      <c r="DB218" s="370"/>
      <c r="DC218" s="370"/>
      <c r="DD218" s="511"/>
      <c r="DE218" s="532"/>
    </row>
    <row r="219" spans="1:109" s="494" customFormat="1" ht="12.75">
      <c r="A219" s="504"/>
      <c r="B219" s="523"/>
      <c r="C219" s="527"/>
      <c r="D219" s="527"/>
      <c r="E219" s="528"/>
      <c r="F219" s="190"/>
      <c r="G219" s="529"/>
      <c r="H219" s="530"/>
      <c r="I219" s="530"/>
      <c r="J219" s="497"/>
      <c r="K219" s="370"/>
      <c r="L219" s="498"/>
      <c r="M219" s="531"/>
      <c r="N219" s="497"/>
      <c r="O219" s="370"/>
      <c r="P219" s="516"/>
      <c r="Q219" s="532"/>
      <c r="R219" s="497"/>
      <c r="S219" s="370"/>
      <c r="T219" s="516"/>
      <c r="U219" s="532"/>
      <c r="V219" s="497"/>
      <c r="W219" s="370"/>
      <c r="X219" s="516"/>
      <c r="Y219" s="532"/>
      <c r="Z219" s="497"/>
      <c r="AA219" s="370"/>
      <c r="AB219" s="516"/>
      <c r="AC219" s="532"/>
      <c r="AD219" s="497"/>
      <c r="AE219" s="497"/>
      <c r="AF219" s="516"/>
      <c r="AG219" s="532"/>
      <c r="AH219" s="497"/>
      <c r="AI219" s="497"/>
      <c r="AJ219" s="516"/>
      <c r="AK219" s="532"/>
      <c r="AL219" s="497"/>
      <c r="AM219" s="517"/>
      <c r="AN219" s="510"/>
      <c r="AO219" s="532"/>
      <c r="AP219" s="497"/>
      <c r="AQ219" s="521"/>
      <c r="AR219" s="514"/>
      <c r="AS219" s="532"/>
      <c r="AT219" s="370"/>
      <c r="AU219" s="370"/>
      <c r="AV219" s="526"/>
      <c r="AW219" s="533"/>
      <c r="AX219" s="370"/>
      <c r="AY219" s="370"/>
      <c r="AZ219" s="516"/>
      <c r="BA219" s="532"/>
      <c r="BB219" s="370"/>
      <c r="BC219" s="370"/>
      <c r="BD219" s="516"/>
      <c r="BE219" s="533"/>
      <c r="BF219" s="370"/>
      <c r="BG219" s="370"/>
      <c r="BH219" s="516"/>
      <c r="BI219" s="532"/>
      <c r="BJ219" s="370"/>
      <c r="BK219" s="370"/>
      <c r="BL219" s="511"/>
      <c r="BM219" s="532"/>
      <c r="BN219" s="370"/>
      <c r="BO219" s="370"/>
      <c r="BP219" s="511"/>
      <c r="BQ219" s="532"/>
      <c r="BR219" s="370"/>
      <c r="BS219" s="370"/>
      <c r="BT219" s="511"/>
      <c r="BU219" s="532"/>
      <c r="BV219" s="370"/>
      <c r="BW219" s="370"/>
      <c r="BX219" s="511"/>
      <c r="BY219" s="532"/>
      <c r="BZ219" s="370"/>
      <c r="CA219" s="370"/>
      <c r="CB219" s="511"/>
      <c r="CC219" s="532"/>
      <c r="CD219" s="370"/>
      <c r="CE219" s="370"/>
      <c r="CF219" s="511"/>
      <c r="CG219" s="532"/>
      <c r="CH219" s="370"/>
      <c r="CI219" s="370"/>
      <c r="CJ219" s="511"/>
      <c r="CK219" s="532"/>
      <c r="CL219" s="370"/>
      <c r="CM219" s="370"/>
      <c r="CN219" s="511"/>
      <c r="CO219" s="532"/>
      <c r="CP219" s="370"/>
      <c r="CQ219" s="370"/>
      <c r="CR219" s="511"/>
      <c r="CS219" s="532"/>
      <c r="CT219" s="370"/>
      <c r="CU219" s="370"/>
      <c r="CV219" s="511"/>
      <c r="CW219" s="532"/>
      <c r="CX219" s="370"/>
      <c r="CY219" s="370"/>
      <c r="CZ219" s="511"/>
      <c r="DA219" s="532"/>
      <c r="DB219" s="370"/>
      <c r="DC219" s="370"/>
      <c r="DD219" s="511"/>
      <c r="DE219" s="532"/>
    </row>
    <row r="220" spans="1:109" s="494" customFormat="1" ht="12.75">
      <c r="A220" s="504"/>
      <c r="B220" s="523"/>
      <c r="C220" s="527"/>
      <c r="D220" s="527"/>
      <c r="E220" s="528"/>
      <c r="F220" s="190"/>
      <c r="G220" s="529"/>
      <c r="H220" s="530"/>
      <c r="I220" s="530"/>
      <c r="J220" s="497"/>
      <c r="K220" s="370"/>
      <c r="L220" s="498"/>
      <c r="M220" s="531"/>
      <c r="N220" s="497"/>
      <c r="O220" s="370"/>
      <c r="P220" s="516"/>
      <c r="Q220" s="532"/>
      <c r="R220" s="497"/>
      <c r="S220" s="370"/>
      <c r="T220" s="516"/>
      <c r="U220" s="532"/>
      <c r="V220" s="497"/>
      <c r="W220" s="370"/>
      <c r="X220" s="516"/>
      <c r="Y220" s="532"/>
      <c r="Z220" s="497"/>
      <c r="AA220" s="370"/>
      <c r="AB220" s="516"/>
      <c r="AC220" s="532"/>
      <c r="AD220" s="497"/>
      <c r="AE220" s="497"/>
      <c r="AF220" s="516"/>
      <c r="AG220" s="532"/>
      <c r="AH220" s="497"/>
      <c r="AI220" s="497"/>
      <c r="AJ220" s="516"/>
      <c r="AK220" s="532"/>
      <c r="AL220" s="497"/>
      <c r="AM220" s="517"/>
      <c r="AN220" s="510"/>
      <c r="AO220" s="532"/>
      <c r="AP220" s="497"/>
      <c r="AQ220" s="521"/>
      <c r="AR220" s="514"/>
      <c r="AS220" s="532"/>
      <c r="AT220" s="370"/>
      <c r="AU220" s="370"/>
      <c r="AV220" s="526"/>
      <c r="AW220" s="533"/>
      <c r="AX220" s="370"/>
      <c r="AY220" s="370"/>
      <c r="AZ220" s="516"/>
      <c r="BA220" s="532"/>
      <c r="BB220" s="370"/>
      <c r="BC220" s="370"/>
      <c r="BD220" s="516"/>
      <c r="BE220" s="533"/>
      <c r="BF220" s="370"/>
      <c r="BG220" s="370"/>
      <c r="BH220" s="516"/>
      <c r="BI220" s="532"/>
      <c r="BJ220" s="370"/>
      <c r="BK220" s="370"/>
      <c r="BL220" s="511"/>
      <c r="BM220" s="532"/>
      <c r="BN220" s="370"/>
      <c r="BO220" s="370"/>
      <c r="BP220" s="511"/>
      <c r="BQ220" s="532"/>
      <c r="BR220" s="370"/>
      <c r="BS220" s="370"/>
      <c r="BT220" s="511"/>
      <c r="BU220" s="532"/>
      <c r="BV220" s="370"/>
      <c r="BW220" s="370"/>
      <c r="BX220" s="511"/>
      <c r="BY220" s="532"/>
      <c r="BZ220" s="370"/>
      <c r="CA220" s="370"/>
      <c r="CB220" s="511"/>
      <c r="CC220" s="532"/>
      <c r="CD220" s="370"/>
      <c r="CE220" s="370"/>
      <c r="CF220" s="511"/>
      <c r="CG220" s="532"/>
      <c r="CH220" s="370"/>
      <c r="CI220" s="370"/>
      <c r="CJ220" s="511"/>
      <c r="CK220" s="532"/>
      <c r="CL220" s="370"/>
      <c r="CM220" s="370"/>
      <c r="CN220" s="511"/>
      <c r="CO220" s="532"/>
      <c r="CP220" s="370"/>
      <c r="CQ220" s="370"/>
      <c r="CR220" s="511"/>
      <c r="CS220" s="532"/>
      <c r="CT220" s="370"/>
      <c r="CU220" s="370"/>
      <c r="CV220" s="511"/>
      <c r="CW220" s="532"/>
      <c r="CX220" s="370"/>
      <c r="CY220" s="370"/>
      <c r="CZ220" s="511"/>
      <c r="DA220" s="532"/>
      <c r="DB220" s="370"/>
      <c r="DC220" s="370"/>
      <c r="DD220" s="511"/>
      <c r="DE220" s="532"/>
    </row>
    <row r="221" spans="1:109" s="494" customFormat="1" ht="12.75">
      <c r="A221" s="504"/>
      <c r="B221" s="523"/>
      <c r="C221" s="527"/>
      <c r="D221" s="527"/>
      <c r="E221" s="528"/>
      <c r="F221" s="190"/>
      <c r="G221" s="529"/>
      <c r="H221" s="530"/>
      <c r="I221" s="530"/>
      <c r="J221" s="497"/>
      <c r="K221" s="370"/>
      <c r="L221" s="498"/>
      <c r="M221" s="531"/>
      <c r="N221" s="497"/>
      <c r="O221" s="370"/>
      <c r="P221" s="516"/>
      <c r="Q221" s="532"/>
      <c r="R221" s="497"/>
      <c r="S221" s="370"/>
      <c r="T221" s="516"/>
      <c r="U221" s="532"/>
      <c r="V221" s="497"/>
      <c r="W221" s="370"/>
      <c r="X221" s="516"/>
      <c r="Y221" s="532"/>
      <c r="Z221" s="497"/>
      <c r="AA221" s="370"/>
      <c r="AB221" s="516"/>
      <c r="AC221" s="532"/>
      <c r="AD221" s="497"/>
      <c r="AE221" s="497"/>
      <c r="AF221" s="516"/>
      <c r="AG221" s="532"/>
      <c r="AH221" s="497"/>
      <c r="AI221" s="497"/>
      <c r="AJ221" s="516"/>
      <c r="AK221" s="532"/>
      <c r="AL221" s="497"/>
      <c r="AM221" s="517"/>
      <c r="AN221" s="510"/>
      <c r="AO221" s="532"/>
      <c r="AP221" s="497"/>
      <c r="AQ221" s="521"/>
      <c r="AR221" s="514"/>
      <c r="AS221" s="532"/>
      <c r="AT221" s="370"/>
      <c r="AU221" s="370"/>
      <c r="AV221" s="526"/>
      <c r="AW221" s="533"/>
      <c r="AX221" s="370"/>
      <c r="AY221" s="370"/>
      <c r="AZ221" s="516"/>
      <c r="BA221" s="532"/>
      <c r="BB221" s="370"/>
      <c r="BC221" s="370"/>
      <c r="BD221" s="516"/>
      <c r="BE221" s="533"/>
      <c r="BF221" s="370"/>
      <c r="BG221" s="370"/>
      <c r="BH221" s="516"/>
      <c r="BI221" s="532"/>
      <c r="BJ221" s="370"/>
      <c r="BK221" s="370"/>
      <c r="BL221" s="511"/>
      <c r="BM221" s="532"/>
      <c r="BN221" s="370"/>
      <c r="BO221" s="370"/>
      <c r="BP221" s="511"/>
      <c r="BQ221" s="532"/>
      <c r="BR221" s="370"/>
      <c r="BS221" s="370"/>
      <c r="BT221" s="511"/>
      <c r="BU221" s="532"/>
      <c r="BV221" s="370"/>
      <c r="BW221" s="370"/>
      <c r="BX221" s="511"/>
      <c r="BY221" s="532"/>
      <c r="BZ221" s="370"/>
      <c r="CA221" s="370"/>
      <c r="CB221" s="511"/>
      <c r="CC221" s="532"/>
      <c r="CD221" s="370"/>
      <c r="CE221" s="370"/>
      <c r="CF221" s="511"/>
      <c r="CG221" s="532"/>
      <c r="CH221" s="370"/>
      <c r="CI221" s="370"/>
      <c r="CJ221" s="511"/>
      <c r="CK221" s="532"/>
      <c r="CL221" s="370"/>
      <c r="CM221" s="370"/>
      <c r="CN221" s="511"/>
      <c r="CO221" s="532"/>
      <c r="CP221" s="370"/>
      <c r="CQ221" s="370"/>
      <c r="CR221" s="511"/>
      <c r="CS221" s="532"/>
      <c r="CT221" s="370"/>
      <c r="CU221" s="370"/>
      <c r="CV221" s="511"/>
      <c r="CW221" s="532"/>
      <c r="CX221" s="370"/>
      <c r="CY221" s="370"/>
      <c r="CZ221" s="511"/>
      <c r="DA221" s="532"/>
      <c r="DB221" s="370"/>
      <c r="DC221" s="370"/>
      <c r="DD221" s="511"/>
      <c r="DE221" s="532"/>
    </row>
    <row r="222" spans="1:109" s="494" customFormat="1" ht="12.75">
      <c r="A222" s="504"/>
      <c r="B222" s="523"/>
      <c r="C222" s="527"/>
      <c r="D222" s="527"/>
      <c r="E222" s="528"/>
      <c r="F222" s="190"/>
      <c r="G222" s="529"/>
      <c r="H222" s="530"/>
      <c r="I222" s="530"/>
      <c r="J222" s="497"/>
      <c r="K222" s="370"/>
      <c r="L222" s="498"/>
      <c r="M222" s="531"/>
      <c r="N222" s="497"/>
      <c r="O222" s="370"/>
      <c r="P222" s="516"/>
      <c r="Q222" s="532"/>
      <c r="R222" s="497"/>
      <c r="S222" s="370"/>
      <c r="T222" s="516"/>
      <c r="U222" s="532"/>
      <c r="V222" s="497"/>
      <c r="W222" s="370"/>
      <c r="X222" s="516"/>
      <c r="Y222" s="532"/>
      <c r="Z222" s="497"/>
      <c r="AA222" s="370"/>
      <c r="AB222" s="516"/>
      <c r="AC222" s="532"/>
      <c r="AD222" s="497"/>
      <c r="AE222" s="497"/>
      <c r="AF222" s="516"/>
      <c r="AG222" s="532"/>
      <c r="AH222" s="497"/>
      <c r="AI222" s="497"/>
      <c r="AJ222" s="516"/>
      <c r="AK222" s="532"/>
      <c r="AL222" s="497"/>
      <c r="AM222" s="517"/>
      <c r="AN222" s="510"/>
      <c r="AO222" s="532"/>
      <c r="AP222" s="497"/>
      <c r="AQ222" s="521"/>
      <c r="AR222" s="514"/>
      <c r="AS222" s="532"/>
      <c r="AT222" s="370"/>
      <c r="AU222" s="370"/>
      <c r="AV222" s="526"/>
      <c r="AW222" s="533"/>
      <c r="AX222" s="370"/>
      <c r="AY222" s="370"/>
      <c r="AZ222" s="516"/>
      <c r="BA222" s="532"/>
      <c r="BB222" s="370"/>
      <c r="BC222" s="370"/>
      <c r="BD222" s="516"/>
      <c r="BE222" s="533"/>
      <c r="BF222" s="370"/>
      <c r="BG222" s="370"/>
      <c r="BH222" s="516"/>
      <c r="BI222" s="532"/>
      <c r="BJ222" s="370"/>
      <c r="BK222" s="370"/>
      <c r="BL222" s="511"/>
      <c r="BM222" s="532"/>
      <c r="BN222" s="370"/>
      <c r="BO222" s="370"/>
      <c r="BP222" s="511"/>
      <c r="BQ222" s="532"/>
      <c r="BR222" s="370"/>
      <c r="BS222" s="370"/>
      <c r="BT222" s="511"/>
      <c r="BU222" s="532"/>
      <c r="BV222" s="370"/>
      <c r="BW222" s="370"/>
      <c r="BX222" s="511"/>
      <c r="BY222" s="532"/>
      <c r="BZ222" s="370"/>
      <c r="CA222" s="370"/>
      <c r="CB222" s="511"/>
      <c r="CC222" s="532"/>
      <c r="CD222" s="370"/>
      <c r="CE222" s="370"/>
      <c r="CF222" s="511"/>
      <c r="CG222" s="532"/>
      <c r="CH222" s="370"/>
      <c r="CI222" s="370"/>
      <c r="CJ222" s="511"/>
      <c r="CK222" s="532"/>
      <c r="CL222" s="370"/>
      <c r="CM222" s="370"/>
      <c r="CN222" s="511"/>
      <c r="CO222" s="532"/>
      <c r="CP222" s="370"/>
      <c r="CQ222" s="370"/>
      <c r="CR222" s="511"/>
      <c r="CS222" s="532"/>
      <c r="CT222" s="370"/>
      <c r="CU222" s="370"/>
      <c r="CV222" s="511"/>
      <c r="CW222" s="532"/>
      <c r="CX222" s="370"/>
      <c r="CY222" s="370"/>
      <c r="CZ222" s="511"/>
      <c r="DA222" s="532"/>
      <c r="DB222" s="370"/>
      <c r="DC222" s="370"/>
      <c r="DD222" s="511"/>
      <c r="DE222" s="532"/>
    </row>
    <row r="223" ht="12.75">
      <c r="AN223" s="521"/>
    </row>
    <row r="224" ht="12.75">
      <c r="AN224" s="521"/>
    </row>
    <row r="225" ht="12.75">
      <c r="AN225" s="521"/>
    </row>
    <row r="226" ht="12.75">
      <c r="AN226" s="521"/>
    </row>
    <row r="227" ht="12.75">
      <c r="AN227" s="521"/>
    </row>
    <row r="228" ht="12.75">
      <c r="AN228" s="521"/>
    </row>
    <row r="229" ht="12.75">
      <c r="AN229" s="521"/>
    </row>
    <row r="230" ht="12.75">
      <c r="AN230" s="521"/>
    </row>
    <row r="231" ht="12.75">
      <c r="AN231" s="521"/>
    </row>
    <row r="232" ht="12.75">
      <c r="AN232" s="521"/>
    </row>
  </sheetData>
  <sheetProtection/>
  <mergeCells count="54">
    <mergeCell ref="CX1:DA1"/>
    <mergeCell ref="CX2:CX7"/>
    <mergeCell ref="DB1:DE1"/>
    <mergeCell ref="DB2:DB7"/>
    <mergeCell ref="CL1:CO1"/>
    <mergeCell ref="CL2:CL7"/>
    <mergeCell ref="CP1:CS1"/>
    <mergeCell ref="CP2:CP7"/>
    <mergeCell ref="CT1:CW1"/>
    <mergeCell ref="CT2:CT7"/>
    <mergeCell ref="CH1:CK1"/>
    <mergeCell ref="CH2:CH7"/>
    <mergeCell ref="AT1:AW1"/>
    <mergeCell ref="AX1:BA1"/>
    <mergeCell ref="BB1:BE1"/>
    <mergeCell ref="BF1:BI1"/>
    <mergeCell ref="BV1:BY1"/>
    <mergeCell ref="BV2:BV7"/>
    <mergeCell ref="BN1:BQ1"/>
    <mergeCell ref="BR1:BU1"/>
    <mergeCell ref="AL1:AO1"/>
    <mergeCell ref="AP1:AS1"/>
    <mergeCell ref="AL2:AL7"/>
    <mergeCell ref="AP2:AP7"/>
    <mergeCell ref="BJ1:BM1"/>
    <mergeCell ref="AT2:AT7"/>
    <mergeCell ref="AX2:AX7"/>
    <mergeCell ref="BB2:BB7"/>
    <mergeCell ref="BF2:BF7"/>
    <mergeCell ref="BJ2:BJ7"/>
    <mergeCell ref="B2:F7"/>
    <mergeCell ref="J1:M1"/>
    <mergeCell ref="I2:I7"/>
    <mergeCell ref="G2:G7"/>
    <mergeCell ref="R1:U1"/>
    <mergeCell ref="V1:Y1"/>
    <mergeCell ref="N2:N7"/>
    <mergeCell ref="R2:R7"/>
    <mergeCell ref="V2:V7"/>
    <mergeCell ref="N1:Q1"/>
    <mergeCell ref="H2:H7"/>
    <mergeCell ref="J2:J7"/>
    <mergeCell ref="AH1:AK1"/>
    <mergeCell ref="AH2:AH7"/>
    <mergeCell ref="Z1:AC1"/>
    <mergeCell ref="Z2:Z7"/>
    <mergeCell ref="AD1:AG1"/>
    <mergeCell ref="AD2:AD7"/>
    <mergeCell ref="BN2:BN7"/>
    <mergeCell ref="BR2:BR7"/>
    <mergeCell ref="BZ1:CC1"/>
    <mergeCell ref="CD1:CG1"/>
    <mergeCell ref="BZ2:BZ7"/>
    <mergeCell ref="CD2:C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zoomScale="75" zoomScaleNormal="75" zoomScalePageLayoutView="0" workbookViewId="0" topLeftCell="A1">
      <pane xSplit="10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K14" sqref="AK14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4.57421875" style="7" customWidth="1"/>
    <col min="4" max="4" width="31.140625" style="7" customWidth="1"/>
    <col min="5" max="5" width="6.140625" style="7" customWidth="1"/>
    <col min="6" max="7" width="8.00390625" style="42" customWidth="1"/>
    <col min="8" max="8" width="0.9921875" style="42" customWidth="1"/>
    <col min="9" max="9" width="8.00390625" style="42" customWidth="1"/>
    <col min="10" max="10" width="1.1484375" style="42" customWidth="1"/>
    <col min="11" max="14" width="6.421875" style="0" customWidth="1"/>
    <col min="15" max="26" width="6.421875" style="7" customWidth="1"/>
    <col min="27" max="30" width="6.8515625" style="0" customWidth="1"/>
    <col min="31" max="33" width="7.28125" style="0" customWidth="1"/>
    <col min="34" max="36" width="7.8515625" style="0" customWidth="1"/>
  </cols>
  <sheetData>
    <row r="1" spans="6:30" ht="180.75" customHeight="1">
      <c r="F1" s="40"/>
      <c r="G1" s="40"/>
      <c r="H1" s="40"/>
      <c r="I1" s="40"/>
      <c r="J1" s="40"/>
      <c r="K1" s="64" t="s">
        <v>153</v>
      </c>
      <c r="L1" s="105" t="s">
        <v>155</v>
      </c>
      <c r="M1" s="65" t="s">
        <v>156</v>
      </c>
      <c r="N1" s="105" t="s">
        <v>157</v>
      </c>
      <c r="O1" s="66" t="s">
        <v>165</v>
      </c>
      <c r="P1" s="67" t="s">
        <v>168</v>
      </c>
      <c r="Q1" s="67" t="s">
        <v>169</v>
      </c>
      <c r="R1" s="67" t="s">
        <v>175</v>
      </c>
      <c r="S1" s="67" t="s">
        <v>176</v>
      </c>
      <c r="T1" s="67" t="s">
        <v>288</v>
      </c>
      <c r="U1" s="67" t="s">
        <v>289</v>
      </c>
      <c r="V1" s="67" t="s">
        <v>290</v>
      </c>
      <c r="W1" s="67" t="s">
        <v>291</v>
      </c>
      <c r="X1" s="67" t="s">
        <v>293</v>
      </c>
      <c r="Y1" s="67" t="s">
        <v>314</v>
      </c>
      <c r="Z1" s="67" t="s">
        <v>315</v>
      </c>
      <c r="AA1" s="97" t="s">
        <v>319</v>
      </c>
      <c r="AB1" s="98"/>
      <c r="AC1" s="85"/>
      <c r="AD1" s="104"/>
    </row>
    <row r="2" spans="2:28" ht="2.25" customHeight="1">
      <c r="B2" s="359" t="s">
        <v>90</v>
      </c>
      <c r="C2" s="360"/>
      <c r="D2" s="360"/>
      <c r="E2" s="360"/>
      <c r="F2" s="356" t="s">
        <v>154</v>
      </c>
      <c r="G2" s="59"/>
      <c r="H2" s="59"/>
      <c r="I2" s="59"/>
      <c r="J2" s="356"/>
      <c r="K2" s="15">
        <v>1000</v>
      </c>
      <c r="L2" s="15">
        <v>1000</v>
      </c>
      <c r="M2" s="15">
        <v>1000</v>
      </c>
      <c r="N2" s="15">
        <v>1000</v>
      </c>
      <c r="O2" s="43">
        <v>1000</v>
      </c>
      <c r="P2" s="43">
        <v>1100</v>
      </c>
      <c r="Q2" s="43">
        <v>1100</v>
      </c>
      <c r="R2" s="43">
        <v>1100</v>
      </c>
      <c r="S2" s="43">
        <v>1100</v>
      </c>
      <c r="T2" s="43">
        <v>1000</v>
      </c>
      <c r="U2" s="43">
        <v>1000</v>
      </c>
      <c r="V2" s="43">
        <v>1000</v>
      </c>
      <c r="W2" s="43">
        <v>1000</v>
      </c>
      <c r="X2" s="43">
        <v>1050</v>
      </c>
      <c r="Y2" s="79"/>
      <c r="Z2" s="79"/>
      <c r="AA2" s="11"/>
      <c r="AB2" s="88"/>
    </row>
    <row r="3" spans="2:28" ht="2.25" customHeight="1">
      <c r="B3" s="361"/>
      <c r="C3" s="362"/>
      <c r="D3" s="362"/>
      <c r="E3" s="362"/>
      <c r="F3" s="357"/>
      <c r="G3" s="60"/>
      <c r="H3" s="60"/>
      <c r="I3" s="60"/>
      <c r="J3" s="357"/>
      <c r="K3" s="15">
        <v>800</v>
      </c>
      <c r="L3" s="15">
        <v>800</v>
      </c>
      <c r="M3" s="15">
        <v>800</v>
      </c>
      <c r="N3" s="15">
        <v>800</v>
      </c>
      <c r="O3" s="44">
        <v>800</v>
      </c>
      <c r="P3" s="44">
        <v>880</v>
      </c>
      <c r="Q3" s="44">
        <v>880</v>
      </c>
      <c r="R3" s="44">
        <v>880</v>
      </c>
      <c r="S3" s="44">
        <v>880</v>
      </c>
      <c r="T3" s="44">
        <v>800</v>
      </c>
      <c r="U3" s="44">
        <v>800</v>
      </c>
      <c r="V3" s="44">
        <v>800</v>
      </c>
      <c r="W3" s="44">
        <v>800</v>
      </c>
      <c r="X3" s="44">
        <v>840</v>
      </c>
      <c r="Y3" s="79"/>
      <c r="Z3" s="79"/>
      <c r="AA3" s="11"/>
      <c r="AB3" s="88"/>
    </row>
    <row r="4" spans="2:27" ht="2.25" customHeight="1">
      <c r="B4" s="361"/>
      <c r="C4" s="362"/>
      <c r="D4" s="362"/>
      <c r="E4" s="362"/>
      <c r="F4" s="357"/>
      <c r="G4" s="60"/>
      <c r="H4" s="60"/>
      <c r="I4" s="60"/>
      <c r="J4" s="357"/>
      <c r="K4" s="15"/>
      <c r="L4" s="15">
        <v>700</v>
      </c>
      <c r="M4" s="15">
        <v>700</v>
      </c>
      <c r="N4" s="15">
        <v>700</v>
      </c>
      <c r="O4" s="44"/>
      <c r="P4" s="44"/>
      <c r="Q4" s="44"/>
      <c r="R4" s="44">
        <v>770</v>
      </c>
      <c r="S4" s="44">
        <v>770</v>
      </c>
      <c r="T4" s="44"/>
      <c r="U4" s="44"/>
      <c r="V4" s="44"/>
      <c r="W4" s="44"/>
      <c r="X4" s="44"/>
      <c r="Y4" s="79"/>
      <c r="Z4" s="79"/>
      <c r="AA4" s="11"/>
    </row>
    <row r="5" spans="2:27" ht="2.25" customHeight="1">
      <c r="B5" s="361"/>
      <c r="C5" s="362"/>
      <c r="D5" s="362"/>
      <c r="E5" s="362"/>
      <c r="F5" s="357"/>
      <c r="G5" s="60"/>
      <c r="H5" s="60"/>
      <c r="I5" s="60"/>
      <c r="J5" s="357"/>
      <c r="K5" s="15"/>
      <c r="L5" s="15"/>
      <c r="M5" s="15"/>
      <c r="N5" s="15"/>
      <c r="O5" s="44"/>
      <c r="P5" s="44"/>
      <c r="Q5" s="44"/>
      <c r="R5" s="44"/>
      <c r="S5" s="44">
        <v>660</v>
      </c>
      <c r="T5" s="44"/>
      <c r="U5" s="44"/>
      <c r="V5" s="44"/>
      <c r="W5" s="44"/>
      <c r="X5" s="44"/>
      <c r="Y5" s="79"/>
      <c r="Z5" s="79"/>
      <c r="AA5" s="11"/>
    </row>
    <row r="6" spans="2:29" ht="15" customHeight="1">
      <c r="B6" s="363"/>
      <c r="C6" s="364"/>
      <c r="D6" s="364"/>
      <c r="E6" s="364"/>
      <c r="F6" s="358"/>
      <c r="G6" s="61"/>
      <c r="H6" s="61"/>
      <c r="I6" s="61"/>
      <c r="J6" s="358"/>
      <c r="K6" s="16"/>
      <c r="L6" s="16"/>
      <c r="M6" s="16"/>
      <c r="N6" s="16"/>
      <c r="O6" s="45"/>
      <c r="P6" s="45"/>
      <c r="Q6" s="45"/>
      <c r="R6" s="45"/>
      <c r="S6" s="45"/>
      <c r="T6" s="45"/>
      <c r="U6" s="45"/>
      <c r="V6" s="45"/>
      <c r="W6" s="45"/>
      <c r="X6" s="45"/>
      <c r="Y6" s="80"/>
      <c r="Z6" s="80"/>
      <c r="AA6" s="11"/>
      <c r="AB6" s="11"/>
      <c r="AC6" s="11"/>
    </row>
    <row r="7" spans="6:29" ht="3" customHeight="1">
      <c r="F7" s="41"/>
      <c r="G7" s="51"/>
      <c r="H7" s="51"/>
      <c r="I7" s="51"/>
      <c r="J7" s="51"/>
      <c r="K7" s="11"/>
      <c r="L7" s="11"/>
      <c r="M7" s="11"/>
      <c r="N7" s="11"/>
      <c r="O7" s="46"/>
      <c r="P7" s="46"/>
      <c r="Q7" s="46"/>
      <c r="R7" s="46"/>
      <c r="S7" s="46"/>
      <c r="T7" s="46"/>
      <c r="U7" s="46"/>
      <c r="V7" s="46"/>
      <c r="W7" s="46"/>
      <c r="X7" s="46"/>
      <c r="Y7" s="81"/>
      <c r="Z7" s="81"/>
      <c r="AB7" s="11"/>
      <c r="AC7" s="11"/>
    </row>
    <row r="8" spans="1:38" ht="12.75">
      <c r="A8" s="14">
        <v>1</v>
      </c>
      <c r="B8" s="100" t="s">
        <v>18</v>
      </c>
      <c r="C8" s="7" t="s">
        <v>10</v>
      </c>
      <c r="D8" s="7" t="s">
        <v>19</v>
      </c>
      <c r="E8" s="54">
        <v>1973</v>
      </c>
      <c r="F8" s="38">
        <v>17090.631384301145</v>
      </c>
      <c r="G8" s="38">
        <f aca="true" t="shared" si="0" ref="G8:G39">COUNTA(K8,L8,M8,N8,O8,P8,Q8,R8,S8,T8,U8,V8,W8,X8,Y8,Z8,AA8)</f>
        <v>17</v>
      </c>
      <c r="H8" s="38"/>
      <c r="I8" s="38">
        <f>F8-AE8-AF8-AG8-AH8-AI8-AJ8-AK8-AL8</f>
        <v>11289.915225961626</v>
      </c>
      <c r="J8" s="38"/>
      <c r="K8" s="110">
        <v>1000</v>
      </c>
      <c r="L8" s="110">
        <v>0</v>
      </c>
      <c r="M8" s="112">
        <v>1000</v>
      </c>
      <c r="N8" s="110">
        <v>977.9233381853469</v>
      </c>
      <c r="O8" s="109">
        <v>929.8928919182085</v>
      </c>
      <c r="P8" s="47">
        <v>1014.3044189852702</v>
      </c>
      <c r="Q8" s="109">
        <v>954.71197879007</v>
      </c>
      <c r="R8" s="113">
        <v>1100</v>
      </c>
      <c r="S8" s="47">
        <v>1062.1943159286186</v>
      </c>
      <c r="T8" s="47">
        <v>1000</v>
      </c>
      <c r="U8" s="47">
        <v>1000</v>
      </c>
      <c r="V8" s="109">
        <v>945.6413655949618</v>
      </c>
      <c r="W8" s="47">
        <v>1000</v>
      </c>
      <c r="X8" s="111">
        <v>0</v>
      </c>
      <c r="Y8" s="83">
        <v>1038.7197851387646</v>
      </c>
      <c r="Z8" s="83">
        <v>1028.4485360700273</v>
      </c>
      <c r="AA8" s="84">
        <v>1046.2481698389463</v>
      </c>
      <c r="AB8" s="76">
        <v>1000</v>
      </c>
      <c r="AC8" s="47">
        <v>992.5465838509315</v>
      </c>
      <c r="AE8">
        <f>SMALL(K8:AC8,1)</f>
        <v>0</v>
      </c>
      <c r="AF8" s="68">
        <f>SMALL(K8:AC8,2)</f>
        <v>0</v>
      </c>
      <c r="AG8" s="68">
        <f>SMALL(K8:AC8,3)</f>
        <v>929.8928919182085</v>
      </c>
      <c r="AH8" s="68">
        <f>SMALL(K8:AC8,4)</f>
        <v>945.6413655949618</v>
      </c>
      <c r="AI8" s="68">
        <f>SMALL(K8:AC8,5)</f>
        <v>954.71197879007</v>
      </c>
      <c r="AJ8" s="68">
        <f>SMALL(K8:AC8,6)</f>
        <v>977.9233381853469</v>
      </c>
      <c r="AK8" s="68">
        <f>SMALL(K8:AC8,7)</f>
        <v>992.5465838509315</v>
      </c>
      <c r="AL8" s="68">
        <f>SMALL(K8:AC8,8)</f>
        <v>1000</v>
      </c>
    </row>
    <row r="9" spans="1:38" ht="12.75">
      <c r="A9" s="14">
        <v>2</v>
      </c>
      <c r="B9" s="100" t="s">
        <v>20</v>
      </c>
      <c r="C9" s="7" t="s">
        <v>10</v>
      </c>
      <c r="D9" s="7" t="s">
        <v>21</v>
      </c>
      <c r="E9" s="52">
        <v>1996</v>
      </c>
      <c r="F9" s="38">
        <v>12836.261787445119</v>
      </c>
      <c r="G9" s="38">
        <f t="shared" si="0"/>
        <v>17</v>
      </c>
      <c r="H9" s="38"/>
      <c r="I9" s="38">
        <f aca="true" t="shared" si="1" ref="I9:I29">F9-AE9-AF9-AG9-AH9-AI9-AJ9-AK9-AL9</f>
        <v>9157.199823892328</v>
      </c>
      <c r="J9" s="38"/>
      <c r="K9" s="10">
        <v>793.9508506616257</v>
      </c>
      <c r="L9" s="10">
        <v>909.4678645473393</v>
      </c>
      <c r="M9" s="10">
        <v>739.2299687825181</v>
      </c>
      <c r="N9" s="72">
        <v>0</v>
      </c>
      <c r="O9" s="71">
        <v>0</v>
      </c>
      <c r="P9" s="47">
        <v>841.4179104477615</v>
      </c>
      <c r="Q9" s="47">
        <v>839.2564012627149</v>
      </c>
      <c r="R9" s="47">
        <v>833.0839123463387</v>
      </c>
      <c r="S9" s="47">
        <v>818.638466622604</v>
      </c>
      <c r="T9" s="47">
        <v>794.1340782122903</v>
      </c>
      <c r="U9" s="47">
        <v>789.0777375313456</v>
      </c>
      <c r="V9" s="47">
        <v>791.8303220738412</v>
      </c>
      <c r="W9" s="47">
        <v>721.1218229623139</v>
      </c>
      <c r="X9" s="71">
        <v>0</v>
      </c>
      <c r="Y9" s="83">
        <v>893.9570277529097</v>
      </c>
      <c r="Z9" s="83">
        <v>752.3996377905225</v>
      </c>
      <c r="AA9" s="84">
        <v>677.2327964860913</v>
      </c>
      <c r="AB9" s="76">
        <v>807.0944599442012</v>
      </c>
      <c r="AC9" s="47">
        <v>834.368530020704</v>
      </c>
      <c r="AE9">
        <f aca="true" t="shared" si="2" ref="AE9:AE29">SMALL(K9:AC9,1)</f>
        <v>0</v>
      </c>
      <c r="AF9" s="68">
        <f aca="true" t="shared" si="3" ref="AF9:AF29">SMALL(K9:AC9,2)</f>
        <v>0</v>
      </c>
      <c r="AG9" s="68">
        <f aca="true" t="shared" si="4" ref="AG9:AG29">SMALL(K9:AC9,3)</f>
        <v>0</v>
      </c>
      <c r="AH9" s="68">
        <f aca="true" t="shared" si="5" ref="AH9:AH29">SMALL(K9:AC9,4)</f>
        <v>677.2327964860913</v>
      </c>
      <c r="AI9" s="68">
        <f aca="true" t="shared" si="6" ref="AI9:AI29">SMALL(K9:AC9,5)</f>
        <v>721.1218229623139</v>
      </c>
      <c r="AJ9" s="68">
        <f aca="true" t="shared" si="7" ref="AJ9:AJ29">SMALL(K9:AC9,6)</f>
        <v>739.2299687825181</v>
      </c>
      <c r="AK9" s="68">
        <f aca="true" t="shared" si="8" ref="AK9:AK29">SMALL(K9:AC9,7)</f>
        <v>752.3996377905225</v>
      </c>
      <c r="AL9" s="68">
        <f aca="true" t="shared" si="9" ref="AL9:AL29">SMALL(K9:AC9,8)</f>
        <v>789.0777375313456</v>
      </c>
    </row>
    <row r="10" spans="1:38" ht="12.75">
      <c r="A10" s="14">
        <v>3</v>
      </c>
      <c r="B10" s="100" t="s">
        <v>340</v>
      </c>
      <c r="C10" s="7" t="s">
        <v>10</v>
      </c>
      <c r="D10" s="7" t="s">
        <v>341</v>
      </c>
      <c r="E10" s="53">
        <v>1990</v>
      </c>
      <c r="F10" s="38">
        <v>732.9613391789558</v>
      </c>
      <c r="G10" s="38">
        <f t="shared" si="0"/>
        <v>17</v>
      </c>
      <c r="H10" s="51"/>
      <c r="I10" s="38">
        <f t="shared" si="1"/>
        <v>732.9613391789558</v>
      </c>
      <c r="J10" s="51"/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82">
        <v>0</v>
      </c>
      <c r="Z10" s="82">
        <v>0</v>
      </c>
      <c r="AA10" s="82">
        <v>0</v>
      </c>
      <c r="AB10" s="94">
        <v>732.9613391789558</v>
      </c>
      <c r="AC10" s="47">
        <v>0</v>
      </c>
      <c r="AE10">
        <f t="shared" si="2"/>
        <v>0</v>
      </c>
      <c r="AF10" s="68">
        <f t="shared" si="3"/>
        <v>0</v>
      </c>
      <c r="AG10" s="68">
        <f t="shared" si="4"/>
        <v>0</v>
      </c>
      <c r="AH10" s="68">
        <f t="shared" si="5"/>
        <v>0</v>
      </c>
      <c r="AI10" s="68">
        <f t="shared" si="6"/>
        <v>0</v>
      </c>
      <c r="AJ10" s="68">
        <f t="shared" si="7"/>
        <v>0</v>
      </c>
      <c r="AK10" s="68">
        <f t="shared" si="8"/>
        <v>0</v>
      </c>
      <c r="AL10" s="68">
        <f t="shared" si="9"/>
        <v>0</v>
      </c>
    </row>
    <row r="11" spans="1:38" ht="12.75">
      <c r="A11" s="14">
        <v>4</v>
      </c>
      <c r="B11" s="100" t="s">
        <v>339</v>
      </c>
      <c r="C11" s="7" t="s">
        <v>10</v>
      </c>
      <c r="D11" s="7" t="s">
        <v>69</v>
      </c>
      <c r="E11" s="52">
        <v>1997</v>
      </c>
      <c r="F11" s="38">
        <v>1090.3790585455424</v>
      </c>
      <c r="G11" s="38">
        <f t="shared" si="0"/>
        <v>17</v>
      </c>
      <c r="H11" s="51"/>
      <c r="I11" s="38">
        <f t="shared" si="1"/>
        <v>1090.3790585455424</v>
      </c>
      <c r="J11" s="51"/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82">
        <v>0</v>
      </c>
      <c r="Z11" s="82">
        <v>0</v>
      </c>
      <c r="AA11" s="82">
        <v>0</v>
      </c>
      <c r="AB11" s="94">
        <v>582.4130879345603</v>
      </c>
      <c r="AC11" s="36">
        <v>507.9659706109821</v>
      </c>
      <c r="AE11">
        <f t="shared" si="2"/>
        <v>0</v>
      </c>
      <c r="AF11" s="68">
        <f t="shared" si="3"/>
        <v>0</v>
      </c>
      <c r="AG11" s="68">
        <f t="shared" si="4"/>
        <v>0</v>
      </c>
      <c r="AH11" s="68">
        <f t="shared" si="5"/>
        <v>0</v>
      </c>
      <c r="AI11" s="68">
        <f t="shared" si="6"/>
        <v>0</v>
      </c>
      <c r="AJ11" s="68">
        <f t="shared" si="7"/>
        <v>0</v>
      </c>
      <c r="AK11" s="68">
        <f t="shared" si="8"/>
        <v>0</v>
      </c>
      <c r="AL11" s="68">
        <f t="shared" si="9"/>
        <v>0</v>
      </c>
    </row>
    <row r="12" spans="1:38" ht="12.75">
      <c r="A12" s="14">
        <v>5</v>
      </c>
      <c r="B12" s="100" t="s">
        <v>93</v>
      </c>
      <c r="C12" s="7" t="s">
        <v>10</v>
      </c>
      <c r="D12" s="7" t="s">
        <v>11</v>
      </c>
      <c r="E12" s="53">
        <v>1977</v>
      </c>
      <c r="F12" s="38">
        <v>6989.04910626973</v>
      </c>
      <c r="G12" s="38">
        <f t="shared" si="0"/>
        <v>17</v>
      </c>
      <c r="H12" s="38"/>
      <c r="I12" s="38">
        <f t="shared" si="1"/>
        <v>6989.04910626973</v>
      </c>
      <c r="J12" s="38"/>
      <c r="K12" s="69">
        <v>0</v>
      </c>
      <c r="L12" s="10">
        <v>715.9640635798204</v>
      </c>
      <c r="M12" s="72">
        <v>0</v>
      </c>
      <c r="N12" s="72">
        <v>0</v>
      </c>
      <c r="O12" s="71">
        <v>0</v>
      </c>
      <c r="P12" s="71">
        <v>0</v>
      </c>
      <c r="Q12" s="71">
        <v>0</v>
      </c>
      <c r="R12" s="47">
        <v>791.9294494922501</v>
      </c>
      <c r="S12" s="47">
        <v>639.0614672835426</v>
      </c>
      <c r="T12" s="47">
        <v>480.18211033743995</v>
      </c>
      <c r="U12" s="47">
        <v>644.3708609271523</v>
      </c>
      <c r="V12" s="47">
        <v>466.0258534968511</v>
      </c>
      <c r="W12" s="47">
        <v>795.807453416149</v>
      </c>
      <c r="X12" s="47">
        <v>642.209302325581</v>
      </c>
      <c r="Y12" s="82">
        <v>0</v>
      </c>
      <c r="Z12" s="82">
        <v>0</v>
      </c>
      <c r="AA12" s="84">
        <v>505.10614934114244</v>
      </c>
      <c r="AB12" s="36">
        <v>630.1315265045837</v>
      </c>
      <c r="AC12" s="36">
        <v>678.2608695652173</v>
      </c>
      <c r="AE12">
        <f t="shared" si="2"/>
        <v>0</v>
      </c>
      <c r="AF12" s="68">
        <f t="shared" si="3"/>
        <v>0</v>
      </c>
      <c r="AG12" s="68">
        <f t="shared" si="4"/>
        <v>0</v>
      </c>
      <c r="AH12" s="68">
        <f t="shared" si="5"/>
        <v>0</v>
      </c>
      <c r="AI12" s="68">
        <f t="shared" si="6"/>
        <v>0</v>
      </c>
      <c r="AJ12" s="68">
        <f t="shared" si="7"/>
        <v>0</v>
      </c>
      <c r="AK12" s="68">
        <f t="shared" si="8"/>
        <v>0</v>
      </c>
      <c r="AL12" s="68">
        <f t="shared" si="9"/>
        <v>0</v>
      </c>
    </row>
    <row r="13" spans="1:38" ht="12.75">
      <c r="A13" s="14">
        <v>6</v>
      </c>
      <c r="B13" s="100" t="s">
        <v>182</v>
      </c>
      <c r="C13" s="7" t="s">
        <v>10</v>
      </c>
      <c r="D13" t="s">
        <v>29</v>
      </c>
      <c r="E13" s="56">
        <v>1999</v>
      </c>
      <c r="F13" s="38">
        <v>5260.465909169451</v>
      </c>
      <c r="G13" s="38">
        <f t="shared" si="0"/>
        <v>17</v>
      </c>
      <c r="H13" s="38"/>
      <c r="I13" s="38">
        <f t="shared" si="1"/>
        <v>5260.465909169451</v>
      </c>
      <c r="J13" s="38"/>
      <c r="K13" s="69">
        <v>0</v>
      </c>
      <c r="L13" s="69">
        <v>0</v>
      </c>
      <c r="M13" s="69">
        <v>0</v>
      </c>
      <c r="N13" s="69">
        <v>0</v>
      </c>
      <c r="O13" s="71">
        <v>0</v>
      </c>
      <c r="P13" s="71">
        <v>0</v>
      </c>
      <c r="Q13" s="71">
        <v>0</v>
      </c>
      <c r="R13" s="47">
        <v>711.5125495376487</v>
      </c>
      <c r="S13" s="47">
        <v>770</v>
      </c>
      <c r="T13" s="47">
        <v>572.6256983240223</v>
      </c>
      <c r="U13" s="47">
        <v>380.7188631930902</v>
      </c>
      <c r="V13" s="47">
        <v>625.6087981146896</v>
      </c>
      <c r="W13" s="47">
        <v>800</v>
      </c>
      <c r="X13" s="71">
        <v>0</v>
      </c>
      <c r="Y13" s="82">
        <v>0</v>
      </c>
      <c r="Z13" s="82">
        <v>0</v>
      </c>
      <c r="AA13" s="82">
        <v>0</v>
      </c>
      <c r="AB13" s="47">
        <v>700</v>
      </c>
      <c r="AC13" s="36">
        <v>700</v>
      </c>
      <c r="AE13">
        <f t="shared" si="2"/>
        <v>0</v>
      </c>
      <c r="AF13" s="68">
        <f t="shared" si="3"/>
        <v>0</v>
      </c>
      <c r="AG13" s="68">
        <f t="shared" si="4"/>
        <v>0</v>
      </c>
      <c r="AH13" s="68">
        <f t="shared" si="5"/>
        <v>0</v>
      </c>
      <c r="AI13" s="68">
        <f t="shared" si="6"/>
        <v>0</v>
      </c>
      <c r="AJ13" s="68">
        <f t="shared" si="7"/>
        <v>0</v>
      </c>
      <c r="AK13" s="68">
        <f t="shared" si="8"/>
        <v>0</v>
      </c>
      <c r="AL13" s="68">
        <f t="shared" si="9"/>
        <v>0</v>
      </c>
    </row>
    <row r="14" spans="1:38" ht="12.75">
      <c r="A14" s="14">
        <v>7</v>
      </c>
      <c r="B14" s="100" t="s">
        <v>22</v>
      </c>
      <c r="C14" s="7" t="s">
        <v>10</v>
      </c>
      <c r="D14" s="7" t="s">
        <v>23</v>
      </c>
      <c r="E14" s="53">
        <v>1988</v>
      </c>
      <c r="F14" s="38">
        <v>9030.850704060837</v>
      </c>
      <c r="G14" s="38">
        <f t="shared" si="0"/>
        <v>17</v>
      </c>
      <c r="H14" s="38"/>
      <c r="I14" s="38">
        <f t="shared" si="1"/>
        <v>6815.544654611912</v>
      </c>
      <c r="J14" s="38"/>
      <c r="K14" s="10">
        <v>351.291745431632</v>
      </c>
      <c r="L14" s="10">
        <v>524.6338215712386</v>
      </c>
      <c r="M14" s="10">
        <v>629.3183189221799</v>
      </c>
      <c r="N14" s="10">
        <v>751.327618649383</v>
      </c>
      <c r="O14" s="47">
        <v>10</v>
      </c>
      <c r="P14" s="47">
        <v>10</v>
      </c>
      <c r="Q14" s="47">
        <v>314.1720896601592</v>
      </c>
      <c r="R14" s="47">
        <v>493.8535542490644</v>
      </c>
      <c r="S14" s="47">
        <v>92.33311302048905</v>
      </c>
      <c r="T14" s="47">
        <v>564.804469273743</v>
      </c>
      <c r="U14" s="47">
        <v>441.5714683755921</v>
      </c>
      <c r="V14" s="47">
        <v>630.3220738413197</v>
      </c>
      <c r="W14" s="47">
        <v>701.4899211218228</v>
      </c>
      <c r="X14" s="47">
        <v>502.08407871198557</v>
      </c>
      <c r="Y14" s="47">
        <v>610.0716204118171</v>
      </c>
      <c r="Z14" s="47">
        <v>539.1035315424087</v>
      </c>
      <c r="AA14" s="10">
        <v>600.7320644216694</v>
      </c>
      <c r="AB14" s="36">
        <v>543.2443204463932</v>
      </c>
      <c r="AC14" s="47">
        <v>720.4968944099379</v>
      </c>
      <c r="AE14">
        <f t="shared" si="2"/>
        <v>10</v>
      </c>
      <c r="AF14" s="68">
        <f t="shared" si="3"/>
        <v>10</v>
      </c>
      <c r="AG14" s="68">
        <f t="shared" si="4"/>
        <v>92.33311302048905</v>
      </c>
      <c r="AH14" s="68">
        <f t="shared" si="5"/>
        <v>314.1720896601592</v>
      </c>
      <c r="AI14" s="68">
        <f t="shared" si="6"/>
        <v>351.291745431632</v>
      </c>
      <c r="AJ14" s="68">
        <f t="shared" si="7"/>
        <v>441.5714683755921</v>
      </c>
      <c r="AK14" s="68">
        <f t="shared" si="8"/>
        <v>493.8535542490644</v>
      </c>
      <c r="AL14" s="68">
        <f t="shared" si="9"/>
        <v>502.08407871198557</v>
      </c>
    </row>
    <row r="15" spans="1:38" ht="12.75">
      <c r="A15" s="14">
        <v>8</v>
      </c>
      <c r="B15" s="100" t="s">
        <v>318</v>
      </c>
      <c r="C15" s="7" t="s">
        <v>10</v>
      </c>
      <c r="D15" s="7" t="s">
        <v>11</v>
      </c>
      <c r="E15" s="54">
        <v>1969</v>
      </c>
      <c r="F15" s="38">
        <v>5979.136924072629</v>
      </c>
      <c r="G15" s="38">
        <f t="shared" si="0"/>
        <v>17</v>
      </c>
      <c r="H15" s="38"/>
      <c r="I15" s="38">
        <f t="shared" si="1"/>
        <v>5979.136924072629</v>
      </c>
      <c r="J15" s="38"/>
      <c r="K15" s="10">
        <v>495.7568081063963</v>
      </c>
      <c r="L15" s="10">
        <v>485.2197070572574</v>
      </c>
      <c r="M15" s="72">
        <v>0</v>
      </c>
      <c r="N15" s="10">
        <v>643.2782772318626</v>
      </c>
      <c r="O15" s="71">
        <v>0</v>
      </c>
      <c r="P15" s="71">
        <v>0</v>
      </c>
      <c r="Q15" s="71">
        <v>0</v>
      </c>
      <c r="R15" s="71">
        <v>0</v>
      </c>
      <c r="S15" s="47">
        <v>787.6320582877961</v>
      </c>
      <c r="T15" s="47">
        <v>433.2402234636872</v>
      </c>
      <c r="U15" s="47">
        <v>311.8417386458626</v>
      </c>
      <c r="V15" s="47">
        <v>403.4564021995287</v>
      </c>
      <c r="W15" s="47">
        <v>588.2559158632779</v>
      </c>
      <c r="X15" s="71">
        <v>0</v>
      </c>
      <c r="Y15" s="47">
        <v>562.251256281407</v>
      </c>
      <c r="Z15" s="71">
        <v>0</v>
      </c>
      <c r="AA15" s="70">
        <v>0</v>
      </c>
      <c r="AB15" s="47">
        <v>666.5030674846627</v>
      </c>
      <c r="AC15" s="47">
        <v>601.7014694508895</v>
      </c>
      <c r="AE15">
        <f t="shared" si="2"/>
        <v>0</v>
      </c>
      <c r="AF15" s="68">
        <f t="shared" si="3"/>
        <v>0</v>
      </c>
      <c r="AG15" s="68">
        <f t="shared" si="4"/>
        <v>0</v>
      </c>
      <c r="AH15" s="68">
        <f t="shared" si="5"/>
        <v>0</v>
      </c>
      <c r="AI15" s="68">
        <f t="shared" si="6"/>
        <v>0</v>
      </c>
      <c r="AJ15" s="68">
        <f t="shared" si="7"/>
        <v>0</v>
      </c>
      <c r="AK15" s="68">
        <f t="shared" si="8"/>
        <v>0</v>
      </c>
      <c r="AL15" s="68">
        <f t="shared" si="9"/>
        <v>0</v>
      </c>
    </row>
    <row r="16" spans="1:38" ht="12.75">
      <c r="A16" s="14">
        <v>9</v>
      </c>
      <c r="B16" s="100" t="s">
        <v>84</v>
      </c>
      <c r="C16" s="7" t="s">
        <v>10</v>
      </c>
      <c r="D16" s="7" t="s">
        <v>21</v>
      </c>
      <c r="E16" s="52">
        <v>1997</v>
      </c>
      <c r="F16" s="38">
        <v>14571.644130953957</v>
      </c>
      <c r="G16" s="38">
        <f t="shared" si="0"/>
        <v>17</v>
      </c>
      <c r="H16" s="38"/>
      <c r="I16" s="38">
        <f t="shared" si="1"/>
        <v>9878.673056668526</v>
      </c>
      <c r="J16" s="38"/>
      <c r="K16" s="10">
        <v>839.6345305608064</v>
      </c>
      <c r="L16" s="10">
        <v>872.8403593642018</v>
      </c>
      <c r="M16" s="10">
        <v>695.9417273673256</v>
      </c>
      <c r="N16" s="10">
        <v>992.7219796215429</v>
      </c>
      <c r="O16" s="47">
        <v>799.2424242424242</v>
      </c>
      <c r="P16" s="47">
        <v>877.5373134328361</v>
      </c>
      <c r="Q16" s="47">
        <v>880</v>
      </c>
      <c r="R16" s="47">
        <v>930.6787814003205</v>
      </c>
      <c r="S16" s="47">
        <v>947.6867151354922</v>
      </c>
      <c r="T16" s="47">
        <v>800</v>
      </c>
      <c r="U16" s="47">
        <v>356.42240178322663</v>
      </c>
      <c r="V16" s="47">
        <v>785.5459544383345</v>
      </c>
      <c r="W16" s="47">
        <v>585.4513584574934</v>
      </c>
      <c r="X16" s="71">
        <v>0</v>
      </c>
      <c r="Y16" s="83">
        <v>959</v>
      </c>
      <c r="Z16" s="83">
        <v>792</v>
      </c>
      <c r="AA16" s="84">
        <v>979.8133235724747</v>
      </c>
      <c r="AB16" s="36">
        <v>740.1355121562378</v>
      </c>
      <c r="AC16" s="36">
        <v>737.4741200828155</v>
      </c>
      <c r="AE16">
        <f t="shared" si="2"/>
        <v>0</v>
      </c>
      <c r="AF16" s="68">
        <f t="shared" si="3"/>
        <v>356.42240178322663</v>
      </c>
      <c r="AG16" s="68">
        <f t="shared" si="4"/>
        <v>585.4513584574934</v>
      </c>
      <c r="AH16" s="68">
        <f t="shared" si="5"/>
        <v>695.9417273673256</v>
      </c>
      <c r="AI16" s="68">
        <f t="shared" si="6"/>
        <v>737.4741200828155</v>
      </c>
      <c r="AJ16" s="68">
        <f t="shared" si="7"/>
        <v>740.1355121562378</v>
      </c>
      <c r="AK16" s="68">
        <f t="shared" si="8"/>
        <v>785.5459544383345</v>
      </c>
      <c r="AL16" s="68">
        <f t="shared" si="9"/>
        <v>792</v>
      </c>
    </row>
    <row r="17" spans="1:38" ht="12.75">
      <c r="A17" s="14">
        <v>10</v>
      </c>
      <c r="B17" s="100" t="s">
        <v>24</v>
      </c>
      <c r="C17" s="7" t="s">
        <v>10</v>
      </c>
      <c r="D17" s="7" t="s">
        <v>25</v>
      </c>
      <c r="E17" s="53">
        <v>1977</v>
      </c>
      <c r="F17" s="38">
        <v>13706.257634546664</v>
      </c>
      <c r="G17" s="38">
        <f t="shared" si="0"/>
        <v>17</v>
      </c>
      <c r="H17" s="38"/>
      <c r="I17" s="38">
        <f t="shared" si="1"/>
        <v>10579.21421170624</v>
      </c>
      <c r="J17" s="38"/>
      <c r="K17" s="10">
        <v>923.7555135475741</v>
      </c>
      <c r="L17" s="10">
        <v>728.4035936420177</v>
      </c>
      <c r="M17" s="10">
        <v>872.8407908428717</v>
      </c>
      <c r="N17" s="10">
        <v>972.1009218825811</v>
      </c>
      <c r="O17" s="71">
        <v>0</v>
      </c>
      <c r="P17" s="47">
        <v>658.9198036006545</v>
      </c>
      <c r="Q17" s="71">
        <v>0</v>
      </c>
      <c r="R17" s="47">
        <v>1068.8401924104755</v>
      </c>
      <c r="S17" s="47">
        <v>1001.123595505618</v>
      </c>
      <c r="T17" s="47">
        <v>893.1440814140333</v>
      </c>
      <c r="U17" s="47">
        <v>919.205298013245</v>
      </c>
      <c r="V17" s="47">
        <v>885.9794497845542</v>
      </c>
      <c r="W17" s="47">
        <v>877.7173913043476</v>
      </c>
      <c r="X17" s="47">
        <v>1026.3327370304114</v>
      </c>
      <c r="Y17" s="71">
        <v>0</v>
      </c>
      <c r="Z17" s="71">
        <v>0</v>
      </c>
      <c r="AA17" s="10">
        <v>1032.9612005856518</v>
      </c>
      <c r="AB17" s="36">
        <v>866.8792347548826</v>
      </c>
      <c r="AC17" s="47">
        <v>978.0538302277431</v>
      </c>
      <c r="AE17">
        <f t="shared" si="2"/>
        <v>0</v>
      </c>
      <c r="AF17" s="68">
        <f t="shared" si="3"/>
        <v>0</v>
      </c>
      <c r="AG17" s="68">
        <f t="shared" si="4"/>
        <v>0</v>
      </c>
      <c r="AH17" s="68">
        <f t="shared" si="5"/>
        <v>0</v>
      </c>
      <c r="AI17" s="68">
        <f t="shared" si="6"/>
        <v>658.9198036006545</v>
      </c>
      <c r="AJ17" s="68">
        <f t="shared" si="7"/>
        <v>728.4035936420177</v>
      </c>
      <c r="AK17" s="68">
        <f t="shared" si="8"/>
        <v>866.8792347548826</v>
      </c>
      <c r="AL17" s="68">
        <f t="shared" si="9"/>
        <v>872.8407908428717</v>
      </c>
    </row>
    <row r="18" spans="1:38" ht="12.75">
      <c r="A18" s="14">
        <v>11</v>
      </c>
      <c r="B18" s="100" t="s">
        <v>85</v>
      </c>
      <c r="C18" s="7" t="s">
        <v>10</v>
      </c>
      <c r="D18" s="7" t="s">
        <v>17</v>
      </c>
      <c r="E18" s="53">
        <v>1976</v>
      </c>
      <c r="F18" s="38">
        <v>10030.560128138453</v>
      </c>
      <c r="G18" s="38">
        <f t="shared" si="0"/>
        <v>17</v>
      </c>
      <c r="H18" s="38"/>
      <c r="I18" s="38">
        <f t="shared" si="1"/>
        <v>9317.314131049661</v>
      </c>
      <c r="J18" s="38"/>
      <c r="K18" s="10">
        <v>963.4530560806551</v>
      </c>
      <c r="L18" s="10">
        <v>0</v>
      </c>
      <c r="M18" s="10">
        <v>829.96878251821</v>
      </c>
      <c r="N18" s="10">
        <v>713.2459970887919</v>
      </c>
      <c r="O18" s="47">
        <v>771.1781888997081</v>
      </c>
      <c r="P18" s="47">
        <v>883.6006546644848</v>
      </c>
      <c r="Q18" s="47">
        <v>774.1624487828395</v>
      </c>
      <c r="R18" s="47">
        <v>839.5510422234098</v>
      </c>
      <c r="S18" s="47">
        <v>0</v>
      </c>
      <c r="T18" s="47">
        <v>729.0502793296089</v>
      </c>
      <c r="U18" s="47">
        <v>849.0066225165565</v>
      </c>
      <c r="V18" s="47">
        <v>851.8395757374877</v>
      </c>
      <c r="W18" s="71">
        <v>0</v>
      </c>
      <c r="X18" s="71">
        <v>0</v>
      </c>
      <c r="Y18" s="71">
        <v>0</v>
      </c>
      <c r="Z18" s="71">
        <v>0</v>
      </c>
      <c r="AA18" s="10">
        <v>973.3711566617867</v>
      </c>
      <c r="AB18" s="36">
        <v>852.1323236349145</v>
      </c>
      <c r="AC18" s="47">
        <v>0</v>
      </c>
      <c r="AE18">
        <f t="shared" si="2"/>
        <v>0</v>
      </c>
      <c r="AF18" s="68">
        <f t="shared" si="3"/>
        <v>0</v>
      </c>
      <c r="AG18" s="68">
        <f t="shared" si="4"/>
        <v>0</v>
      </c>
      <c r="AH18" s="68">
        <f t="shared" si="5"/>
        <v>0</v>
      </c>
      <c r="AI18" s="68">
        <f t="shared" si="6"/>
        <v>0</v>
      </c>
      <c r="AJ18" s="68">
        <f t="shared" si="7"/>
        <v>0</v>
      </c>
      <c r="AK18" s="68">
        <f t="shared" si="8"/>
        <v>0</v>
      </c>
      <c r="AL18" s="68">
        <f t="shared" si="9"/>
        <v>713.2459970887919</v>
      </c>
    </row>
    <row r="19" spans="1:38" ht="12.75">
      <c r="A19" s="14">
        <v>12</v>
      </c>
      <c r="B19" s="100" t="s">
        <v>316</v>
      </c>
      <c r="C19" s="7" t="s">
        <v>10</v>
      </c>
      <c r="D19" s="7" t="s">
        <v>317</v>
      </c>
      <c r="E19" s="56">
        <v>1999</v>
      </c>
      <c r="F19" s="38">
        <v>341.1546670160342</v>
      </c>
      <c r="G19" s="38">
        <f t="shared" si="0"/>
        <v>17</v>
      </c>
      <c r="H19" s="38"/>
      <c r="I19" s="38">
        <f t="shared" si="1"/>
        <v>341.1546670160342</v>
      </c>
      <c r="J19" s="38"/>
      <c r="K19" s="71">
        <v>0</v>
      </c>
      <c r="L19" s="72">
        <v>0</v>
      </c>
      <c r="M19" s="71">
        <v>0</v>
      </c>
      <c r="N19" s="72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83">
        <v>22.215025906735725</v>
      </c>
      <c r="Z19" s="83">
        <v>318.93964110929846</v>
      </c>
      <c r="AA19" s="82">
        <v>0</v>
      </c>
      <c r="AB19" s="47">
        <v>0</v>
      </c>
      <c r="AC19" s="36">
        <v>0</v>
      </c>
      <c r="AE19">
        <f t="shared" si="2"/>
        <v>0</v>
      </c>
      <c r="AF19" s="68">
        <f t="shared" si="3"/>
        <v>0</v>
      </c>
      <c r="AG19" s="68">
        <f t="shared" si="4"/>
        <v>0</v>
      </c>
      <c r="AH19" s="68">
        <f t="shared" si="5"/>
        <v>0</v>
      </c>
      <c r="AI19" s="68">
        <f t="shared" si="6"/>
        <v>0</v>
      </c>
      <c r="AJ19" s="68">
        <f t="shared" si="7"/>
        <v>0</v>
      </c>
      <c r="AK19" s="68">
        <f t="shared" si="8"/>
        <v>0</v>
      </c>
      <c r="AL19" s="68">
        <f t="shared" si="9"/>
        <v>0</v>
      </c>
    </row>
    <row r="20" spans="1:38" ht="12.75">
      <c r="A20" s="14">
        <v>13</v>
      </c>
      <c r="B20" s="100" t="s">
        <v>350</v>
      </c>
      <c r="C20" s="7" t="s">
        <v>10</v>
      </c>
      <c r="D20" s="7" t="s">
        <v>351</v>
      </c>
      <c r="E20" s="53">
        <v>1994</v>
      </c>
      <c r="F20" s="38">
        <v>1417.048026689838</v>
      </c>
      <c r="G20" s="38">
        <f t="shared" si="0"/>
        <v>17</v>
      </c>
      <c r="H20" s="51"/>
      <c r="I20" s="38">
        <f t="shared" si="1"/>
        <v>1417.048026689838</v>
      </c>
      <c r="J20" s="51"/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82">
        <v>0</v>
      </c>
      <c r="Z20" s="82">
        <v>0</v>
      </c>
      <c r="AA20" s="82">
        <v>0</v>
      </c>
      <c r="AB20" s="47">
        <v>668.3937823834199</v>
      </c>
      <c r="AC20" s="47">
        <v>748.6542443064181</v>
      </c>
      <c r="AE20">
        <f t="shared" si="2"/>
        <v>0</v>
      </c>
      <c r="AF20" s="68">
        <f t="shared" si="3"/>
        <v>0</v>
      </c>
      <c r="AG20" s="68">
        <f t="shared" si="4"/>
        <v>0</v>
      </c>
      <c r="AH20" s="68">
        <f t="shared" si="5"/>
        <v>0</v>
      </c>
      <c r="AI20" s="68">
        <f t="shared" si="6"/>
        <v>0</v>
      </c>
      <c r="AJ20" s="68">
        <f t="shared" si="7"/>
        <v>0</v>
      </c>
      <c r="AK20" s="68">
        <f t="shared" si="8"/>
        <v>0</v>
      </c>
      <c r="AL20" s="68">
        <f t="shared" si="9"/>
        <v>0</v>
      </c>
    </row>
    <row r="21" spans="1:38" ht="12.75">
      <c r="A21" s="14">
        <v>14</v>
      </c>
      <c r="B21" s="100" t="s">
        <v>99</v>
      </c>
      <c r="C21" s="7" t="s">
        <v>10</v>
      </c>
      <c r="D21" s="7" t="s">
        <v>11</v>
      </c>
      <c r="E21" s="54">
        <v>1975</v>
      </c>
      <c r="F21" s="38">
        <v>5820.341075165747</v>
      </c>
      <c r="G21" s="38">
        <f t="shared" si="0"/>
        <v>17</v>
      </c>
      <c r="H21" s="38"/>
      <c r="I21" s="38">
        <f t="shared" si="1"/>
        <v>5820.341075165747</v>
      </c>
      <c r="J21" s="38"/>
      <c r="K21" s="69">
        <v>0</v>
      </c>
      <c r="L21" s="10">
        <v>756.046993780235</v>
      </c>
      <c r="M21" s="72">
        <v>0</v>
      </c>
      <c r="N21" s="72">
        <v>0</v>
      </c>
      <c r="O21" s="71">
        <v>0</v>
      </c>
      <c r="P21" s="71">
        <v>0</v>
      </c>
      <c r="Q21" s="71">
        <v>0</v>
      </c>
      <c r="R21" s="47">
        <v>996.5259219668628</v>
      </c>
      <c r="S21" s="47">
        <v>900.4296100462653</v>
      </c>
      <c r="T21" s="71">
        <v>0</v>
      </c>
      <c r="U21" s="47">
        <v>800.8830022075056</v>
      </c>
      <c r="V21" s="71">
        <v>0</v>
      </c>
      <c r="W21" s="71">
        <v>0</v>
      </c>
      <c r="X21" s="47">
        <v>887.1466905187832</v>
      </c>
      <c r="Y21" s="82">
        <v>0</v>
      </c>
      <c r="Z21" s="82">
        <v>0</v>
      </c>
      <c r="AA21" s="82">
        <v>0</v>
      </c>
      <c r="AB21" s="47">
        <v>781.5862893583101</v>
      </c>
      <c r="AC21" s="47">
        <v>697.7225672877847</v>
      </c>
      <c r="AE21">
        <f t="shared" si="2"/>
        <v>0</v>
      </c>
      <c r="AF21" s="68">
        <f t="shared" si="3"/>
        <v>0</v>
      </c>
      <c r="AG21" s="68">
        <f t="shared" si="4"/>
        <v>0</v>
      </c>
      <c r="AH21" s="68">
        <f t="shared" si="5"/>
        <v>0</v>
      </c>
      <c r="AI21" s="68">
        <f t="shared" si="6"/>
        <v>0</v>
      </c>
      <c r="AJ21" s="68">
        <f t="shared" si="7"/>
        <v>0</v>
      </c>
      <c r="AK21" s="68">
        <f t="shared" si="8"/>
        <v>0</v>
      </c>
      <c r="AL21" s="68">
        <f t="shared" si="9"/>
        <v>0</v>
      </c>
    </row>
    <row r="22" spans="1:38" ht="12.75">
      <c r="A22" s="14">
        <v>15</v>
      </c>
      <c r="B22" s="100" t="s">
        <v>109</v>
      </c>
      <c r="C22" s="7" t="s">
        <v>10</v>
      </c>
      <c r="D22" s="7" t="s">
        <v>11</v>
      </c>
      <c r="E22" s="54">
        <v>1969</v>
      </c>
      <c r="F22" s="38">
        <v>9331.91044193649</v>
      </c>
      <c r="G22" s="38">
        <f t="shared" si="0"/>
        <v>17</v>
      </c>
      <c r="H22" s="38"/>
      <c r="I22" s="38">
        <f t="shared" si="1"/>
        <v>8115.121786581558</v>
      </c>
      <c r="J22" s="38"/>
      <c r="K22" s="69">
        <v>0</v>
      </c>
      <c r="L22" s="10">
        <v>784.0213049267644</v>
      </c>
      <c r="M22" s="10">
        <v>800</v>
      </c>
      <c r="N22" s="10">
        <v>770.060631402885</v>
      </c>
      <c r="O22" s="71">
        <v>0</v>
      </c>
      <c r="P22" s="71">
        <v>0</v>
      </c>
      <c r="Q22" s="71">
        <v>0</v>
      </c>
      <c r="R22" s="47">
        <v>739.6044895777658</v>
      </c>
      <c r="S22" s="47">
        <v>624.5208195637804</v>
      </c>
      <c r="T22" s="47">
        <v>660.0558659217878</v>
      </c>
      <c r="U22" s="47">
        <v>670.0473669545835</v>
      </c>
      <c r="V22" s="47">
        <v>800</v>
      </c>
      <c r="W22" s="47">
        <v>772.304995617879</v>
      </c>
      <c r="X22" s="71">
        <v>0</v>
      </c>
      <c r="Y22" s="47">
        <v>697.3266331658291</v>
      </c>
      <c r="Z22" s="47">
        <v>750.0648882480175</v>
      </c>
      <c r="AA22" s="82">
        <v>0</v>
      </c>
      <c r="AB22" s="47">
        <v>592.2678357911519</v>
      </c>
      <c r="AC22" s="36">
        <v>671.6356107660455</v>
      </c>
      <c r="AE22">
        <f t="shared" si="2"/>
        <v>0</v>
      </c>
      <c r="AF22" s="68">
        <f t="shared" si="3"/>
        <v>0</v>
      </c>
      <c r="AG22" s="68">
        <f t="shared" si="4"/>
        <v>0</v>
      </c>
      <c r="AH22" s="68">
        <f t="shared" si="5"/>
        <v>0</v>
      </c>
      <c r="AI22" s="68">
        <f t="shared" si="6"/>
        <v>0</v>
      </c>
      <c r="AJ22" s="68">
        <f t="shared" si="7"/>
        <v>0</v>
      </c>
      <c r="AK22" s="68">
        <f t="shared" si="8"/>
        <v>592.2678357911519</v>
      </c>
      <c r="AL22" s="68">
        <f t="shared" si="9"/>
        <v>624.5208195637804</v>
      </c>
    </row>
    <row r="23" spans="1:38" ht="12.75">
      <c r="A23" s="14">
        <v>16</v>
      </c>
      <c r="B23" s="100" t="s">
        <v>104</v>
      </c>
      <c r="C23" s="7" t="s">
        <v>10</v>
      </c>
      <c r="D23" s="7" t="s">
        <v>110</v>
      </c>
      <c r="E23" s="56">
        <v>1999</v>
      </c>
      <c r="F23" s="38">
        <v>11131.38243985504</v>
      </c>
      <c r="G23" s="38">
        <f t="shared" si="0"/>
        <v>17</v>
      </c>
      <c r="H23" s="38"/>
      <c r="I23" s="38">
        <f t="shared" si="1"/>
        <v>8322.02515408721</v>
      </c>
      <c r="J23" s="38"/>
      <c r="K23" s="69">
        <v>0</v>
      </c>
      <c r="L23" s="10">
        <v>338.74833555259676</v>
      </c>
      <c r="M23" s="10">
        <v>704.7657349688317</v>
      </c>
      <c r="N23" s="10">
        <v>800</v>
      </c>
      <c r="O23" s="47">
        <v>717.4242424242424</v>
      </c>
      <c r="P23" s="47">
        <v>587.761194029851</v>
      </c>
      <c r="Q23" s="47">
        <v>786.7835847071207</v>
      </c>
      <c r="R23" s="47">
        <v>0</v>
      </c>
      <c r="S23" s="47">
        <v>574.7191011235951</v>
      </c>
      <c r="T23" s="47">
        <v>674.8603351955306</v>
      </c>
      <c r="U23" s="47">
        <v>633.2683198662581</v>
      </c>
      <c r="V23" s="47">
        <v>712.0188531029065</v>
      </c>
      <c r="W23" s="47">
        <v>781.7703768624015</v>
      </c>
      <c r="X23" s="71">
        <v>0</v>
      </c>
      <c r="Y23" s="47">
        <v>739.5376884422109</v>
      </c>
      <c r="Z23" s="47">
        <v>707.6712328767125</v>
      </c>
      <c r="AA23" s="84">
        <v>772.0534407027819</v>
      </c>
      <c r="AB23" s="36">
        <v>800</v>
      </c>
      <c r="AC23" s="36">
        <v>800</v>
      </c>
      <c r="AE23">
        <f t="shared" si="2"/>
        <v>0</v>
      </c>
      <c r="AF23" s="68">
        <f t="shared" si="3"/>
        <v>0</v>
      </c>
      <c r="AG23" s="68">
        <f t="shared" si="4"/>
        <v>0</v>
      </c>
      <c r="AH23" s="68">
        <f t="shared" si="5"/>
        <v>338.74833555259676</v>
      </c>
      <c r="AI23" s="68">
        <f t="shared" si="6"/>
        <v>574.7191011235951</v>
      </c>
      <c r="AJ23" s="68">
        <f t="shared" si="7"/>
        <v>587.761194029851</v>
      </c>
      <c r="AK23" s="68">
        <f t="shared" si="8"/>
        <v>633.2683198662581</v>
      </c>
      <c r="AL23" s="68">
        <f t="shared" si="9"/>
        <v>674.8603351955306</v>
      </c>
    </row>
    <row r="24" spans="1:38" ht="12.75">
      <c r="A24" s="14">
        <v>17</v>
      </c>
      <c r="B24" s="100" t="s">
        <v>111</v>
      </c>
      <c r="C24" s="7" t="s">
        <v>10</v>
      </c>
      <c r="D24" s="7" t="s">
        <v>110</v>
      </c>
      <c r="E24" s="56">
        <v>2001</v>
      </c>
      <c r="F24" s="38">
        <v>5946.134893045547</v>
      </c>
      <c r="G24" s="38">
        <f t="shared" si="0"/>
        <v>17</v>
      </c>
      <c r="H24" s="38"/>
      <c r="I24" s="38">
        <f t="shared" si="1"/>
        <v>5946.134893045547</v>
      </c>
      <c r="J24" s="38"/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47">
        <v>770</v>
      </c>
      <c r="S24" s="47">
        <v>441.59908186687085</v>
      </c>
      <c r="T24" s="47">
        <v>187.43016759776535</v>
      </c>
      <c r="U24" s="47">
        <v>137.75424909445508</v>
      </c>
      <c r="V24" s="47">
        <v>420.738413197172</v>
      </c>
      <c r="W24" s="47">
        <v>661.8755477651183</v>
      </c>
      <c r="X24" s="71">
        <v>0</v>
      </c>
      <c r="Y24" s="47">
        <v>719.1321243523316</v>
      </c>
      <c r="Z24" s="47">
        <v>735</v>
      </c>
      <c r="AA24" s="10">
        <v>770</v>
      </c>
      <c r="AB24" s="36">
        <v>466.2962962962963</v>
      </c>
      <c r="AC24" s="47">
        <v>636.3090128755366</v>
      </c>
      <c r="AE24">
        <f t="shared" si="2"/>
        <v>0</v>
      </c>
      <c r="AF24" s="68">
        <f t="shared" si="3"/>
        <v>0</v>
      </c>
      <c r="AG24" s="68">
        <f t="shared" si="4"/>
        <v>0</v>
      </c>
      <c r="AH24" s="68">
        <f t="shared" si="5"/>
        <v>0</v>
      </c>
      <c r="AI24" s="68">
        <f t="shared" si="6"/>
        <v>0</v>
      </c>
      <c r="AJ24" s="68">
        <f t="shared" si="7"/>
        <v>0</v>
      </c>
      <c r="AK24" s="68">
        <f t="shared" si="8"/>
        <v>0</v>
      </c>
      <c r="AL24" s="68">
        <f t="shared" si="9"/>
        <v>0</v>
      </c>
    </row>
    <row r="25" spans="1:38" ht="12.75">
      <c r="A25" s="14">
        <v>18</v>
      </c>
      <c r="B25" s="100" t="s">
        <v>14</v>
      </c>
      <c r="C25" s="7" t="s">
        <v>10</v>
      </c>
      <c r="D25" s="7" t="s">
        <v>15</v>
      </c>
      <c r="E25" s="55">
        <v>1956</v>
      </c>
      <c r="F25" s="38">
        <v>9179.380145406627</v>
      </c>
      <c r="G25" s="38">
        <f t="shared" si="0"/>
        <v>17</v>
      </c>
      <c r="H25" s="38"/>
      <c r="I25" s="38">
        <f t="shared" si="1"/>
        <v>8152.560325034406</v>
      </c>
      <c r="J25" s="38"/>
      <c r="K25" s="10">
        <v>764.281190626979</v>
      </c>
      <c r="L25" s="10">
        <v>578.96138482024</v>
      </c>
      <c r="M25" s="10">
        <v>447.8584355519809</v>
      </c>
      <c r="N25" s="10">
        <v>737.1106000418147</v>
      </c>
      <c r="O25" s="71">
        <v>0</v>
      </c>
      <c r="P25" s="71">
        <v>0</v>
      </c>
      <c r="Q25" s="71">
        <v>0</v>
      </c>
      <c r="R25" s="47">
        <v>767.1794871794873</v>
      </c>
      <c r="S25" s="47">
        <v>0</v>
      </c>
      <c r="T25" s="47">
        <v>671.2290502793296</v>
      </c>
      <c r="U25" s="47">
        <v>656.0044580663136</v>
      </c>
      <c r="V25" s="47">
        <v>694.4226237234877</v>
      </c>
      <c r="W25" s="47">
        <v>725.3286590709902</v>
      </c>
      <c r="X25" s="47">
        <v>840</v>
      </c>
      <c r="Y25" s="71">
        <v>0</v>
      </c>
      <c r="Z25" s="71">
        <v>0</v>
      </c>
      <c r="AA25" s="10">
        <v>880</v>
      </c>
      <c r="AB25" s="36">
        <v>734.560327198364</v>
      </c>
      <c r="AC25" s="47">
        <v>682.4439288476412</v>
      </c>
      <c r="AE25">
        <f t="shared" si="2"/>
        <v>0</v>
      </c>
      <c r="AF25" s="68">
        <f t="shared" si="3"/>
        <v>0</v>
      </c>
      <c r="AG25" s="68">
        <f t="shared" si="4"/>
        <v>0</v>
      </c>
      <c r="AH25" s="68">
        <f t="shared" si="5"/>
        <v>0</v>
      </c>
      <c r="AI25" s="68">
        <f t="shared" si="6"/>
        <v>0</v>
      </c>
      <c r="AJ25" s="68">
        <f t="shared" si="7"/>
        <v>0</v>
      </c>
      <c r="AK25" s="68">
        <f t="shared" si="8"/>
        <v>447.8584355519809</v>
      </c>
      <c r="AL25" s="68">
        <f t="shared" si="9"/>
        <v>578.96138482024</v>
      </c>
    </row>
    <row r="26" spans="1:38" ht="12.75">
      <c r="A26" s="14">
        <v>19</v>
      </c>
      <c r="B26" s="100" t="s">
        <v>26</v>
      </c>
      <c r="C26" s="7" t="s">
        <v>10</v>
      </c>
      <c r="D26" s="7" t="s">
        <v>27</v>
      </c>
      <c r="E26" s="53">
        <v>1977</v>
      </c>
      <c r="F26" s="38">
        <v>16937.50099633306</v>
      </c>
      <c r="G26" s="38">
        <f t="shared" si="0"/>
        <v>17</v>
      </c>
      <c r="H26" s="38"/>
      <c r="I26" s="38">
        <f t="shared" si="1"/>
        <v>11332.517795635491</v>
      </c>
      <c r="J26" s="38"/>
      <c r="K26" s="10">
        <v>965.9735349716443</v>
      </c>
      <c r="L26" s="10">
        <v>980.6496199032482</v>
      </c>
      <c r="M26" s="110">
        <v>936.5244536940687</v>
      </c>
      <c r="N26" s="112">
        <v>1000</v>
      </c>
      <c r="O26" s="111">
        <v>0</v>
      </c>
      <c r="P26" s="47">
        <v>970.7364975450081</v>
      </c>
      <c r="Q26" s="111">
        <v>0</v>
      </c>
      <c r="R26" s="47">
        <v>1099.4120791020844</v>
      </c>
      <c r="S26" s="113">
        <v>1100</v>
      </c>
      <c r="T26" s="109">
        <v>947.2415640064276</v>
      </c>
      <c r="U26" s="109">
        <v>954.3046357615895</v>
      </c>
      <c r="V26" s="109">
        <v>951.9390122638382</v>
      </c>
      <c r="W26" s="47">
        <v>999.2236024844718</v>
      </c>
      <c r="X26" s="47">
        <v>1029.1502683363149</v>
      </c>
      <c r="Y26" s="47">
        <v>1030.259623992838</v>
      </c>
      <c r="Z26" s="47">
        <v>1022.7437367944462</v>
      </c>
      <c r="AA26" s="10">
        <v>1100</v>
      </c>
      <c r="AB26" s="108">
        <v>849</v>
      </c>
      <c r="AC26" s="46">
        <v>1000</v>
      </c>
      <c r="AE26">
        <f t="shared" si="2"/>
        <v>0</v>
      </c>
      <c r="AF26" s="68">
        <f t="shared" si="3"/>
        <v>0</v>
      </c>
      <c r="AG26" s="68">
        <f t="shared" si="4"/>
        <v>849</v>
      </c>
      <c r="AH26" s="68">
        <f t="shared" si="5"/>
        <v>936.5244536940687</v>
      </c>
      <c r="AI26" s="68">
        <f t="shared" si="6"/>
        <v>947.2415640064276</v>
      </c>
      <c r="AJ26" s="68">
        <f t="shared" si="7"/>
        <v>951.9390122638382</v>
      </c>
      <c r="AK26" s="68">
        <f t="shared" si="8"/>
        <v>954.3046357615895</v>
      </c>
      <c r="AL26" s="68">
        <f t="shared" si="9"/>
        <v>965.9735349716443</v>
      </c>
    </row>
    <row r="27" spans="1:38" ht="12.75">
      <c r="A27" s="14">
        <v>20</v>
      </c>
      <c r="B27" s="100" t="s">
        <v>68</v>
      </c>
      <c r="C27" s="7" t="s">
        <v>10</v>
      </c>
      <c r="D27" s="7" t="s">
        <v>69</v>
      </c>
      <c r="E27" s="52">
        <v>1997</v>
      </c>
      <c r="F27" s="38">
        <v>8441.497338562678</v>
      </c>
      <c r="G27" s="38">
        <f t="shared" si="0"/>
        <v>17</v>
      </c>
      <c r="H27" s="38"/>
      <c r="I27" s="38">
        <f t="shared" si="1"/>
        <v>7893.378085288786</v>
      </c>
      <c r="J27" s="38"/>
      <c r="K27" s="10">
        <v>800</v>
      </c>
      <c r="L27" s="10">
        <v>674.7855917667238</v>
      </c>
      <c r="M27" s="10">
        <v>700</v>
      </c>
      <c r="N27" s="10">
        <v>700</v>
      </c>
      <c r="O27" s="71">
        <v>0</v>
      </c>
      <c r="P27" s="71">
        <v>0</v>
      </c>
      <c r="Q27" s="71">
        <v>0</v>
      </c>
      <c r="R27" s="47">
        <v>834.8717948717951</v>
      </c>
      <c r="S27" s="47">
        <v>752.4785194976864</v>
      </c>
      <c r="T27" s="47">
        <v>572.3463687150836</v>
      </c>
      <c r="U27" s="47">
        <v>548.1192532738927</v>
      </c>
      <c r="V27" s="47">
        <v>552.3959151610367</v>
      </c>
      <c r="W27" s="47">
        <v>758.983347940403</v>
      </c>
      <c r="X27" s="71">
        <v>0</v>
      </c>
      <c r="Y27" s="82">
        <v>0</v>
      </c>
      <c r="Z27" s="71">
        <v>0</v>
      </c>
      <c r="AA27" s="71">
        <v>0</v>
      </c>
      <c r="AB27" s="47">
        <v>784.9488752556236</v>
      </c>
      <c r="AC27" s="47">
        <v>762.5676720804332</v>
      </c>
      <c r="AE27">
        <f t="shared" si="2"/>
        <v>0</v>
      </c>
      <c r="AF27" s="68">
        <f t="shared" si="3"/>
        <v>0</v>
      </c>
      <c r="AG27" s="68">
        <f t="shared" si="4"/>
        <v>0</v>
      </c>
      <c r="AH27" s="68">
        <f t="shared" si="5"/>
        <v>0</v>
      </c>
      <c r="AI27" s="68">
        <f t="shared" si="6"/>
        <v>0</v>
      </c>
      <c r="AJ27" s="68">
        <f t="shared" si="7"/>
        <v>0</v>
      </c>
      <c r="AK27" s="68">
        <f t="shared" si="8"/>
        <v>0</v>
      </c>
      <c r="AL27" s="68">
        <f t="shared" si="9"/>
        <v>548.1192532738927</v>
      </c>
    </row>
    <row r="28" spans="1:38" ht="12.75">
      <c r="A28" s="14">
        <v>21</v>
      </c>
      <c r="B28" s="100" t="s">
        <v>342</v>
      </c>
      <c r="C28" s="7" t="s">
        <v>10</v>
      </c>
      <c r="D28" s="7" t="s">
        <v>343</v>
      </c>
      <c r="E28" s="53"/>
      <c r="F28" s="38">
        <v>117.61259465922679</v>
      </c>
      <c r="G28" s="38">
        <f t="shared" si="0"/>
        <v>17</v>
      </c>
      <c r="H28" s="51"/>
      <c r="I28" s="38">
        <f t="shared" si="1"/>
        <v>117.61259465922679</v>
      </c>
      <c r="J28" s="51"/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94">
        <v>107.61259465922679</v>
      </c>
      <c r="AC28" s="46">
        <v>10</v>
      </c>
      <c r="AE28">
        <f t="shared" si="2"/>
        <v>0</v>
      </c>
      <c r="AF28" s="68">
        <f t="shared" si="3"/>
        <v>0</v>
      </c>
      <c r="AG28" s="68">
        <f t="shared" si="4"/>
        <v>0</v>
      </c>
      <c r="AH28" s="68">
        <f t="shared" si="5"/>
        <v>0</v>
      </c>
      <c r="AI28" s="68">
        <f t="shared" si="6"/>
        <v>0</v>
      </c>
      <c r="AJ28" s="68">
        <f t="shared" si="7"/>
        <v>0</v>
      </c>
      <c r="AK28" s="68">
        <f t="shared" si="8"/>
        <v>0</v>
      </c>
      <c r="AL28" s="68">
        <f t="shared" si="9"/>
        <v>0</v>
      </c>
    </row>
    <row r="29" spans="1:38" ht="12.75">
      <c r="A29" s="14">
        <v>22</v>
      </c>
      <c r="B29" s="100" t="s">
        <v>86</v>
      </c>
      <c r="C29" s="7" t="s">
        <v>10</v>
      </c>
      <c r="D29" s="7" t="s">
        <v>21</v>
      </c>
      <c r="E29" s="53">
        <v>1994</v>
      </c>
      <c r="F29" s="38">
        <v>14508.671230908245</v>
      </c>
      <c r="G29" s="38">
        <f t="shared" si="0"/>
        <v>17</v>
      </c>
      <c r="H29" s="38"/>
      <c r="I29" s="38">
        <f t="shared" si="1"/>
        <v>10909.793601331332</v>
      </c>
      <c r="J29" s="38"/>
      <c r="K29" s="10">
        <v>995.9042218021422</v>
      </c>
      <c r="L29" s="10">
        <v>1000</v>
      </c>
      <c r="M29" s="10">
        <v>982.1019771071798</v>
      </c>
      <c r="N29" s="10">
        <v>924.0659873847645</v>
      </c>
      <c r="O29" s="71">
        <v>0</v>
      </c>
      <c r="P29" s="71">
        <v>0</v>
      </c>
      <c r="Q29" s="71">
        <v>0</v>
      </c>
      <c r="R29" s="47">
        <v>1014.7514698022446</v>
      </c>
      <c r="S29" s="47">
        <v>1006.2128222075345</v>
      </c>
      <c r="T29" s="47">
        <v>948.3128012854846</v>
      </c>
      <c r="U29" s="47">
        <v>875.7174392935982</v>
      </c>
      <c r="V29" s="47">
        <v>1000</v>
      </c>
      <c r="W29" s="47">
        <v>901.7857142857142</v>
      </c>
      <c r="X29" s="71">
        <v>0</v>
      </c>
      <c r="Y29" s="47">
        <v>946</v>
      </c>
      <c r="Z29" s="47">
        <v>1050</v>
      </c>
      <c r="AA29" s="10">
        <v>1038.195461200586</v>
      </c>
      <c r="AB29" s="36">
        <v>928.656835392587</v>
      </c>
      <c r="AC29" s="47">
        <v>897.3084886128364</v>
      </c>
      <c r="AE29">
        <f t="shared" si="2"/>
        <v>0</v>
      </c>
      <c r="AF29" s="68">
        <f t="shared" si="3"/>
        <v>0</v>
      </c>
      <c r="AG29" s="68">
        <f t="shared" si="4"/>
        <v>0</v>
      </c>
      <c r="AH29" s="68">
        <f t="shared" si="5"/>
        <v>0</v>
      </c>
      <c r="AI29" s="68">
        <f t="shared" si="6"/>
        <v>875.7174392935982</v>
      </c>
      <c r="AJ29" s="68">
        <f t="shared" si="7"/>
        <v>897.3084886128364</v>
      </c>
      <c r="AK29" s="68">
        <f t="shared" si="8"/>
        <v>901.7857142857142</v>
      </c>
      <c r="AL29" s="68">
        <f t="shared" si="9"/>
        <v>924.0659873847645</v>
      </c>
    </row>
    <row r="30" spans="1:36" ht="12.75">
      <c r="A30" s="14">
        <v>23</v>
      </c>
      <c r="B30" s="29" t="s">
        <v>177</v>
      </c>
      <c r="C30" s="7" t="s">
        <v>10</v>
      </c>
      <c r="D30" s="7" t="s">
        <v>69</v>
      </c>
      <c r="E30" s="56">
        <v>2001</v>
      </c>
      <c r="F30" s="38">
        <v>926.1650810239348</v>
      </c>
      <c r="G30" s="38">
        <f t="shared" si="0"/>
        <v>17</v>
      </c>
      <c r="H30" s="38"/>
      <c r="I30" s="38">
        <f aca="true" t="shared" si="10" ref="I30:I39">F30-AE30-AF30-AG30-AH30-AI30-AJ30</f>
        <v>926.1650810239348</v>
      </c>
      <c r="J30" s="38"/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47">
        <v>361.60501981505945</v>
      </c>
      <c r="S30" s="47">
        <v>564.5600612088754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/>
      <c r="AC30" s="70"/>
      <c r="AE30">
        <f aca="true" t="shared" si="11" ref="AE30:AE56">SMALL(K30:AA30,1)</f>
        <v>0</v>
      </c>
      <c r="AF30" s="68">
        <f aca="true" t="shared" si="12" ref="AF30:AF56">SMALL(K30:AA30,2)</f>
        <v>0</v>
      </c>
      <c r="AG30" s="68">
        <f aca="true" t="shared" si="13" ref="AG30:AG56">SMALL(K30:AA30,3)</f>
        <v>0</v>
      </c>
      <c r="AH30" s="68">
        <f aca="true" t="shared" si="14" ref="AH30:AH56">SMALL(K30:AA30,4)</f>
        <v>0</v>
      </c>
      <c r="AI30" s="68">
        <f aca="true" t="shared" si="15" ref="AI30:AI56">SMALL(K30:AA30,5)</f>
        <v>0</v>
      </c>
      <c r="AJ30" s="68">
        <f aca="true" t="shared" si="16" ref="AJ30:AJ56">SMALL(K30:AA30,6)</f>
        <v>0</v>
      </c>
    </row>
    <row r="31" spans="1:36" ht="12.75">
      <c r="A31" s="14">
        <v>24</v>
      </c>
      <c r="B31" s="9" t="s">
        <v>100</v>
      </c>
      <c r="C31" s="7" t="s">
        <v>10</v>
      </c>
      <c r="D31" s="7" t="s">
        <v>101</v>
      </c>
      <c r="E31" s="53">
        <v>1981</v>
      </c>
      <c r="F31" s="38">
        <v>3155.6600235988367</v>
      </c>
      <c r="G31" s="38">
        <f t="shared" si="0"/>
        <v>17</v>
      </c>
      <c r="H31" s="38"/>
      <c r="I31" s="38">
        <f t="shared" si="10"/>
        <v>3155.6600235988367</v>
      </c>
      <c r="J31" s="38"/>
      <c r="K31" s="69">
        <v>0</v>
      </c>
      <c r="L31" s="10">
        <v>346.7376830892146</v>
      </c>
      <c r="M31" s="10">
        <v>410.8586366378445</v>
      </c>
      <c r="N31" s="10">
        <v>607.1503240643947</v>
      </c>
      <c r="O31" s="71">
        <v>0</v>
      </c>
      <c r="P31" s="71">
        <v>0</v>
      </c>
      <c r="Q31" s="71">
        <v>0</v>
      </c>
      <c r="R31" s="47">
        <v>174.6125066809192</v>
      </c>
      <c r="S31" s="47">
        <v>172.67019167217427</v>
      </c>
      <c r="T31" s="47">
        <v>526.5363128491622</v>
      </c>
      <c r="U31" s="47">
        <v>419.05823349122323</v>
      </c>
      <c r="V31" s="47">
        <v>498.036135113904</v>
      </c>
      <c r="W31" s="71">
        <v>0</v>
      </c>
      <c r="X31" s="71">
        <v>0</v>
      </c>
      <c r="Y31" s="82">
        <v>0</v>
      </c>
      <c r="Z31" s="82">
        <v>0</v>
      </c>
      <c r="AA31" s="82">
        <v>0</v>
      </c>
      <c r="AB31" s="71"/>
      <c r="AC31" s="10"/>
      <c r="AE31">
        <f t="shared" si="11"/>
        <v>0</v>
      </c>
      <c r="AF31" s="68">
        <f t="shared" si="12"/>
        <v>0</v>
      </c>
      <c r="AG31" s="68">
        <f t="shared" si="13"/>
        <v>0</v>
      </c>
      <c r="AH31" s="68">
        <f t="shared" si="14"/>
        <v>0</v>
      </c>
      <c r="AI31" s="68">
        <f t="shared" si="15"/>
        <v>0</v>
      </c>
      <c r="AJ31" s="68">
        <f t="shared" si="16"/>
        <v>0</v>
      </c>
    </row>
    <row r="32" spans="1:36" ht="12.75">
      <c r="A32" s="14">
        <v>25</v>
      </c>
      <c r="B32" s="29" t="s">
        <v>287</v>
      </c>
      <c r="C32" s="7" t="s">
        <v>10</v>
      </c>
      <c r="D32" s="7" t="s">
        <v>45</v>
      </c>
      <c r="E32" s="53">
        <v>1992</v>
      </c>
      <c r="F32" s="38">
        <v>4456.004372743474</v>
      </c>
      <c r="G32" s="38">
        <f t="shared" si="0"/>
        <v>17</v>
      </c>
      <c r="H32" s="38"/>
      <c r="I32" s="38">
        <f t="shared" si="10"/>
        <v>4456.004372743474</v>
      </c>
      <c r="J32" s="38"/>
      <c r="K32" s="69">
        <v>0</v>
      </c>
      <c r="L32" s="69">
        <v>0</v>
      </c>
      <c r="M32" s="72">
        <v>0</v>
      </c>
      <c r="N32" s="72">
        <v>0</v>
      </c>
      <c r="O32" s="71">
        <v>0</v>
      </c>
      <c r="P32" s="71">
        <v>0</v>
      </c>
      <c r="Q32" s="71">
        <v>0</v>
      </c>
      <c r="R32" s="47">
        <v>911.8653126670229</v>
      </c>
      <c r="S32" s="47">
        <v>965.4990085922008</v>
      </c>
      <c r="T32" s="47">
        <v>0</v>
      </c>
      <c r="U32" s="47">
        <v>791.3907284768209</v>
      </c>
      <c r="V32" s="47">
        <v>844.87901889294</v>
      </c>
      <c r="W32" s="71">
        <v>0</v>
      </c>
      <c r="X32" s="47">
        <v>942.3703041144898</v>
      </c>
      <c r="Y32" s="82">
        <v>0</v>
      </c>
      <c r="Z32" s="82">
        <v>0</v>
      </c>
      <c r="AA32" s="82">
        <v>0</v>
      </c>
      <c r="AB32" s="71"/>
      <c r="AC32" s="10"/>
      <c r="AE32">
        <f t="shared" si="11"/>
        <v>0</v>
      </c>
      <c r="AF32" s="68">
        <f t="shared" si="12"/>
        <v>0</v>
      </c>
      <c r="AG32" s="68">
        <f t="shared" si="13"/>
        <v>0</v>
      </c>
      <c r="AH32" s="68">
        <f t="shared" si="14"/>
        <v>0</v>
      </c>
      <c r="AI32" s="68">
        <f t="shared" si="15"/>
        <v>0</v>
      </c>
      <c r="AJ32" s="68">
        <f t="shared" si="16"/>
        <v>0</v>
      </c>
    </row>
    <row r="33" spans="1:36" ht="12.75">
      <c r="A33" s="14">
        <v>26</v>
      </c>
      <c r="B33" s="9" t="s">
        <v>92</v>
      </c>
      <c r="C33" s="7" t="s">
        <v>10</v>
      </c>
      <c r="D33" s="7" t="s">
        <v>112</v>
      </c>
      <c r="E33" s="52">
        <v>1995</v>
      </c>
      <c r="F33" s="38">
        <v>571.8843650540939</v>
      </c>
      <c r="G33" s="38">
        <f t="shared" si="0"/>
        <v>17</v>
      </c>
      <c r="H33" s="38"/>
      <c r="I33" s="38">
        <f t="shared" si="10"/>
        <v>571.8843650540939</v>
      </c>
      <c r="J33" s="38"/>
      <c r="K33" s="71">
        <v>0</v>
      </c>
      <c r="L33" s="10">
        <v>0</v>
      </c>
      <c r="M33" s="10">
        <v>65.97294484911554</v>
      </c>
      <c r="N33" s="72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82">
        <v>0</v>
      </c>
      <c r="Z33" s="82">
        <v>0</v>
      </c>
      <c r="AA33" s="84">
        <v>505.9114202049784</v>
      </c>
      <c r="AB33" s="71"/>
      <c r="AC33" s="71"/>
      <c r="AE33">
        <f t="shared" si="11"/>
        <v>0</v>
      </c>
      <c r="AF33" s="68">
        <f t="shared" si="12"/>
        <v>0</v>
      </c>
      <c r="AG33" s="68">
        <f t="shared" si="13"/>
        <v>0</v>
      </c>
      <c r="AH33" s="68">
        <f t="shared" si="14"/>
        <v>0</v>
      </c>
      <c r="AI33" s="68">
        <f t="shared" si="15"/>
        <v>0</v>
      </c>
      <c r="AJ33" s="68">
        <f t="shared" si="16"/>
        <v>0</v>
      </c>
    </row>
    <row r="34" spans="1:36" ht="12.75">
      <c r="A34" s="14">
        <v>27</v>
      </c>
      <c r="B34" s="29" t="s">
        <v>178</v>
      </c>
      <c r="C34" s="7" t="s">
        <v>10</v>
      </c>
      <c r="D34" s="7" t="s">
        <v>69</v>
      </c>
      <c r="E34" s="56">
        <v>2005</v>
      </c>
      <c r="F34" s="38">
        <v>210.0462351387053</v>
      </c>
      <c r="G34" s="38">
        <f t="shared" si="0"/>
        <v>17</v>
      </c>
      <c r="H34" s="38"/>
      <c r="I34" s="38">
        <f t="shared" si="10"/>
        <v>210.0462351387053</v>
      </c>
      <c r="J34" s="38"/>
      <c r="K34" s="71">
        <v>0</v>
      </c>
      <c r="L34" s="71">
        <v>0</v>
      </c>
      <c r="M34" s="69">
        <v>0</v>
      </c>
      <c r="N34" s="72">
        <v>0</v>
      </c>
      <c r="O34" s="71">
        <v>0</v>
      </c>
      <c r="P34" s="71">
        <v>0</v>
      </c>
      <c r="Q34" s="71">
        <v>0</v>
      </c>
      <c r="R34" s="47">
        <v>210.0462351387053</v>
      </c>
      <c r="S34" s="47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/>
      <c r="AC34" s="71"/>
      <c r="AE34">
        <f t="shared" si="11"/>
        <v>0</v>
      </c>
      <c r="AF34" s="68">
        <f t="shared" si="12"/>
        <v>0</v>
      </c>
      <c r="AG34" s="68">
        <f t="shared" si="13"/>
        <v>0</v>
      </c>
      <c r="AH34" s="68">
        <f t="shared" si="14"/>
        <v>0</v>
      </c>
      <c r="AI34" s="68">
        <f t="shared" si="15"/>
        <v>0</v>
      </c>
      <c r="AJ34" s="68">
        <f t="shared" si="16"/>
        <v>0</v>
      </c>
    </row>
    <row r="35" spans="1:36" ht="12.75">
      <c r="A35" s="14">
        <v>28</v>
      </c>
      <c r="B35" s="29" t="s">
        <v>179</v>
      </c>
      <c r="C35" s="7" t="s">
        <v>10</v>
      </c>
      <c r="D35" s="7" t="s">
        <v>69</v>
      </c>
      <c r="E35" s="56">
        <v>2002</v>
      </c>
      <c r="F35" s="38">
        <v>1308.447820343461</v>
      </c>
      <c r="G35" s="38">
        <f t="shared" si="0"/>
        <v>17</v>
      </c>
      <c r="H35" s="38"/>
      <c r="I35" s="38">
        <f t="shared" si="10"/>
        <v>1308.447820343461</v>
      </c>
      <c r="J35" s="38"/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47">
        <v>648.4478203434611</v>
      </c>
      <c r="S35" s="47">
        <v>660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82">
        <v>0</v>
      </c>
      <c r="Z35" s="82">
        <v>0</v>
      </c>
      <c r="AA35" s="102">
        <v>0</v>
      </c>
      <c r="AB35" s="82"/>
      <c r="AC35" s="10"/>
      <c r="AD35" s="86"/>
      <c r="AE35">
        <f t="shared" si="11"/>
        <v>0</v>
      </c>
      <c r="AF35" s="68">
        <f t="shared" si="12"/>
        <v>0</v>
      </c>
      <c r="AG35" s="68">
        <f t="shared" si="13"/>
        <v>0</v>
      </c>
      <c r="AH35" s="68">
        <f t="shared" si="14"/>
        <v>0</v>
      </c>
      <c r="AI35" s="68">
        <f t="shared" si="15"/>
        <v>0</v>
      </c>
      <c r="AJ35" s="68">
        <f t="shared" si="16"/>
        <v>0</v>
      </c>
    </row>
    <row r="36" spans="1:36" ht="12.75">
      <c r="A36" s="14">
        <v>29</v>
      </c>
      <c r="B36" s="29" t="s">
        <v>180</v>
      </c>
      <c r="C36" s="7" t="s">
        <v>10</v>
      </c>
      <c r="D36" s="7" t="s">
        <v>69</v>
      </c>
      <c r="E36" s="56">
        <v>2002</v>
      </c>
      <c r="F36" s="38">
        <v>1179.3982559109118</v>
      </c>
      <c r="G36" s="38">
        <f t="shared" si="0"/>
        <v>17</v>
      </c>
      <c r="H36" s="38"/>
      <c r="I36" s="38">
        <f t="shared" si="10"/>
        <v>1179.3982559109118</v>
      </c>
      <c r="J36" s="38"/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47">
        <v>644.3791281373844</v>
      </c>
      <c r="S36" s="47">
        <v>535.0191277735272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/>
      <c r="AC36" s="71"/>
      <c r="AE36">
        <f t="shared" si="11"/>
        <v>0</v>
      </c>
      <c r="AF36" s="68">
        <f t="shared" si="12"/>
        <v>0</v>
      </c>
      <c r="AG36" s="68">
        <f t="shared" si="13"/>
        <v>0</v>
      </c>
      <c r="AH36" s="68">
        <f t="shared" si="14"/>
        <v>0</v>
      </c>
      <c r="AI36" s="68">
        <f t="shared" si="15"/>
        <v>0</v>
      </c>
      <c r="AJ36" s="68">
        <f t="shared" si="16"/>
        <v>0</v>
      </c>
    </row>
    <row r="37" spans="1:36" ht="12.75">
      <c r="A37" s="14">
        <v>30</v>
      </c>
      <c r="B37" s="9" t="s">
        <v>102</v>
      </c>
      <c r="C37" s="7" t="s">
        <v>10</v>
      </c>
      <c r="D37" s="7" t="s">
        <v>103</v>
      </c>
      <c r="E37" s="53">
        <v>1990</v>
      </c>
      <c r="F37" s="38">
        <v>4759.986214863859</v>
      </c>
      <c r="G37" s="38">
        <f t="shared" si="0"/>
        <v>17</v>
      </c>
      <c r="H37" s="38"/>
      <c r="I37" s="38">
        <f t="shared" si="10"/>
        <v>4759.986214863859</v>
      </c>
      <c r="J37" s="38"/>
      <c r="K37" s="69">
        <v>0</v>
      </c>
      <c r="L37" s="10">
        <v>750.4660452729697</v>
      </c>
      <c r="M37" s="10">
        <v>518.4797908707019</v>
      </c>
      <c r="N37" s="72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47">
        <v>604.7486033519555</v>
      </c>
      <c r="U37" s="47">
        <v>743.8283644469212</v>
      </c>
      <c r="V37" s="47">
        <v>707.9340141398271</v>
      </c>
      <c r="W37" s="47">
        <v>693.0762489044698</v>
      </c>
      <c r="X37" s="71">
        <v>0</v>
      </c>
      <c r="Y37" s="71">
        <v>0</v>
      </c>
      <c r="Z37" s="71">
        <v>0</v>
      </c>
      <c r="AA37" s="10">
        <v>741.4531478770133</v>
      </c>
      <c r="AB37" s="71"/>
      <c r="AC37" s="71"/>
      <c r="AE37">
        <f t="shared" si="11"/>
        <v>0</v>
      </c>
      <c r="AF37" s="68">
        <f t="shared" si="12"/>
        <v>0</v>
      </c>
      <c r="AG37" s="68">
        <f t="shared" si="13"/>
        <v>0</v>
      </c>
      <c r="AH37" s="68">
        <f t="shared" si="14"/>
        <v>0</v>
      </c>
      <c r="AI37" s="68">
        <f t="shared" si="15"/>
        <v>0</v>
      </c>
      <c r="AJ37" s="68">
        <f t="shared" si="16"/>
        <v>0</v>
      </c>
    </row>
    <row r="38" spans="1:36" ht="12.75">
      <c r="A38" s="14">
        <v>31</v>
      </c>
      <c r="B38" s="9" t="s">
        <v>285</v>
      </c>
      <c r="C38" s="7" t="s">
        <v>187</v>
      </c>
      <c r="D38" s="7" t="s">
        <v>286</v>
      </c>
      <c r="E38" s="53">
        <v>1976</v>
      </c>
      <c r="F38" s="38">
        <v>6776.2659833125335</v>
      </c>
      <c r="G38" s="38">
        <f t="shared" si="0"/>
        <v>17</v>
      </c>
      <c r="H38" s="38"/>
      <c r="I38" s="38">
        <f t="shared" si="10"/>
        <v>6776.2659833125335</v>
      </c>
      <c r="J38" s="38"/>
      <c r="K38" s="69">
        <v>0</v>
      </c>
      <c r="L38" s="69">
        <v>0</v>
      </c>
      <c r="M38" s="72">
        <v>0</v>
      </c>
      <c r="N38" s="72">
        <v>0</v>
      </c>
      <c r="O38" s="71">
        <v>0</v>
      </c>
      <c r="P38" s="47">
        <v>882.5204582651394</v>
      </c>
      <c r="Q38" s="47">
        <v>786.3581585924321</v>
      </c>
      <c r="R38" s="47">
        <v>971.2453233564937</v>
      </c>
      <c r="S38" s="47">
        <v>987.3099801718439</v>
      </c>
      <c r="T38" s="47">
        <v>0</v>
      </c>
      <c r="U38" s="47">
        <v>668.8741721854306</v>
      </c>
      <c r="V38" s="47">
        <v>762.0152469340402</v>
      </c>
      <c r="W38" s="47">
        <v>867.2360248447204</v>
      </c>
      <c r="X38" s="47">
        <v>850.7066189624327</v>
      </c>
      <c r="Y38" s="71">
        <v>0</v>
      </c>
      <c r="Z38" s="71">
        <v>0</v>
      </c>
      <c r="AA38" s="102">
        <v>0</v>
      </c>
      <c r="AB38" s="82"/>
      <c r="AC38" s="10"/>
      <c r="AD38" s="86"/>
      <c r="AE38">
        <f t="shared" si="11"/>
        <v>0</v>
      </c>
      <c r="AF38" s="68">
        <f t="shared" si="12"/>
        <v>0</v>
      </c>
      <c r="AG38" s="68">
        <f t="shared" si="13"/>
        <v>0</v>
      </c>
      <c r="AH38" s="68">
        <f t="shared" si="14"/>
        <v>0</v>
      </c>
      <c r="AI38" s="68">
        <f t="shared" si="15"/>
        <v>0</v>
      </c>
      <c r="AJ38" s="68">
        <f t="shared" si="16"/>
        <v>0</v>
      </c>
    </row>
    <row r="39" spans="1:36" ht="12.75">
      <c r="A39" s="14">
        <v>32</v>
      </c>
      <c r="B39" s="29" t="s">
        <v>183</v>
      </c>
      <c r="C39" s="7" t="s">
        <v>10</v>
      </c>
      <c r="D39" s="7" t="s">
        <v>69</v>
      </c>
      <c r="E39" s="56">
        <v>2000</v>
      </c>
      <c r="F39" s="38">
        <v>661.1624834874506</v>
      </c>
      <c r="G39" s="38">
        <f t="shared" si="0"/>
        <v>17</v>
      </c>
      <c r="H39" s="38"/>
      <c r="I39" s="38">
        <f t="shared" si="10"/>
        <v>661.1624834874506</v>
      </c>
      <c r="J39" s="38"/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47">
        <v>661.1624834874506</v>
      </c>
      <c r="S39" s="47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/>
      <c r="AC39" s="71"/>
      <c r="AE39">
        <f t="shared" si="11"/>
        <v>0</v>
      </c>
      <c r="AF39" s="68">
        <f t="shared" si="12"/>
        <v>0</v>
      </c>
      <c r="AG39" s="68">
        <f t="shared" si="13"/>
        <v>0</v>
      </c>
      <c r="AH39" s="68">
        <f t="shared" si="14"/>
        <v>0</v>
      </c>
      <c r="AI39" s="68">
        <f t="shared" si="15"/>
        <v>0</v>
      </c>
      <c r="AJ39" s="68">
        <f t="shared" si="16"/>
        <v>0</v>
      </c>
    </row>
    <row r="40" spans="1:36" ht="12.75">
      <c r="A40" s="14">
        <v>33</v>
      </c>
      <c r="B40" s="9" t="s">
        <v>197</v>
      </c>
      <c r="C40" s="7" t="s">
        <v>187</v>
      </c>
      <c r="D40" s="7" t="s">
        <v>204</v>
      </c>
      <c r="E40" s="53">
        <v>1976</v>
      </c>
      <c r="F40" s="38">
        <v>7727.034449093403</v>
      </c>
      <c r="G40" s="38">
        <f aca="true" t="shared" si="17" ref="G40:G60">COUNTA(K40,L40,M40,N40,O40,P40,Q40,R40,S40,T40,U40,V40,W40,X40,Y40,Z40,AA40)</f>
        <v>17</v>
      </c>
      <c r="H40" s="38"/>
      <c r="I40" s="38">
        <f aca="true" t="shared" si="18" ref="I40:I60">F40-AE40-AF40-AG40-AH40-AI40-AJ40</f>
        <v>7727.034449093403</v>
      </c>
      <c r="J40" s="38"/>
      <c r="K40" s="71">
        <v>0</v>
      </c>
      <c r="L40" s="71">
        <v>0</v>
      </c>
      <c r="M40" s="71">
        <v>0</v>
      </c>
      <c r="N40" s="71">
        <v>0</v>
      </c>
      <c r="O40" s="47">
        <v>555.0146056475173</v>
      </c>
      <c r="P40" s="47">
        <v>833.5515548281508</v>
      </c>
      <c r="Q40" s="47">
        <v>854.7601831766691</v>
      </c>
      <c r="R40" s="47">
        <v>881.2934259754143</v>
      </c>
      <c r="S40" s="47">
        <v>805.9153998678122</v>
      </c>
      <c r="T40" s="71">
        <v>0</v>
      </c>
      <c r="U40" s="71">
        <v>0</v>
      </c>
      <c r="V40" s="71">
        <v>0</v>
      </c>
      <c r="W40" s="71">
        <v>0</v>
      </c>
      <c r="X40" s="47">
        <v>900.2951699463327</v>
      </c>
      <c r="Y40" s="47">
        <v>995.4789615040288</v>
      </c>
      <c r="Z40" s="47">
        <v>978.6900090552369</v>
      </c>
      <c r="AA40" s="10">
        <v>922.0351390922406</v>
      </c>
      <c r="AB40" s="71"/>
      <c r="AC40" s="71"/>
      <c r="AE40">
        <f t="shared" si="11"/>
        <v>0</v>
      </c>
      <c r="AF40" s="68">
        <f t="shared" si="12"/>
        <v>0</v>
      </c>
      <c r="AG40" s="68">
        <f t="shared" si="13"/>
        <v>0</v>
      </c>
      <c r="AH40" s="68">
        <f t="shared" si="14"/>
        <v>0</v>
      </c>
      <c r="AI40" s="68">
        <f t="shared" si="15"/>
        <v>0</v>
      </c>
      <c r="AJ40" s="68">
        <f t="shared" si="16"/>
        <v>0</v>
      </c>
    </row>
    <row r="41" spans="1:36" ht="12.75">
      <c r="A41" s="14">
        <v>34</v>
      </c>
      <c r="B41" s="29" t="s">
        <v>298</v>
      </c>
      <c r="C41" s="7" t="s">
        <v>131</v>
      </c>
      <c r="D41" s="7" t="s">
        <v>299</v>
      </c>
      <c r="F41" s="38">
        <v>1438.5494248005257</v>
      </c>
      <c r="G41" s="38">
        <f t="shared" si="17"/>
        <v>17</v>
      </c>
      <c r="H41" s="38"/>
      <c r="I41" s="38">
        <f t="shared" si="18"/>
        <v>1438.5494248005257</v>
      </c>
      <c r="J41" s="38"/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0">
        <v>0</v>
      </c>
      <c r="S41" s="70">
        <v>0</v>
      </c>
      <c r="T41" s="47">
        <v>10</v>
      </c>
      <c r="U41" s="47">
        <v>299.5820562830872</v>
      </c>
      <c r="V41" s="47">
        <v>444.304791830322</v>
      </c>
      <c r="W41" s="47">
        <v>684.6625766871165</v>
      </c>
      <c r="X41" s="71">
        <v>0</v>
      </c>
      <c r="Y41" s="71">
        <v>0</v>
      </c>
      <c r="Z41" s="71">
        <v>0</v>
      </c>
      <c r="AA41" s="71">
        <v>0</v>
      </c>
      <c r="AB41" s="71"/>
      <c r="AC41" s="71"/>
      <c r="AE41">
        <f t="shared" si="11"/>
        <v>0</v>
      </c>
      <c r="AF41" s="68">
        <f t="shared" si="12"/>
        <v>0</v>
      </c>
      <c r="AG41" s="68">
        <f t="shared" si="13"/>
        <v>0</v>
      </c>
      <c r="AH41" s="68">
        <f t="shared" si="14"/>
        <v>0</v>
      </c>
      <c r="AI41" s="68">
        <f t="shared" si="15"/>
        <v>0</v>
      </c>
      <c r="AJ41" s="68">
        <f t="shared" si="16"/>
        <v>0</v>
      </c>
    </row>
    <row r="42" spans="1:36" ht="12.75">
      <c r="A42" s="14">
        <v>35</v>
      </c>
      <c r="B42" s="29" t="s">
        <v>296</v>
      </c>
      <c r="C42" s="7" t="s">
        <v>10</v>
      </c>
      <c r="D42" s="7" t="s">
        <v>297</v>
      </c>
      <c r="E42" s="56">
        <v>1998</v>
      </c>
      <c r="F42" s="38">
        <v>2157.826591407566</v>
      </c>
      <c r="G42" s="38">
        <f t="shared" si="17"/>
        <v>17</v>
      </c>
      <c r="H42" s="38"/>
      <c r="I42" s="38">
        <f t="shared" si="18"/>
        <v>2157.826591407566</v>
      </c>
      <c r="J42" s="38"/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0">
        <v>0</v>
      </c>
      <c r="S42" s="70">
        <v>0</v>
      </c>
      <c r="T42" s="47">
        <v>472.06703910614533</v>
      </c>
      <c r="U42" s="47">
        <v>444.91501811089444</v>
      </c>
      <c r="V42" s="47">
        <v>543.9120188531028</v>
      </c>
      <c r="W42" s="47">
        <v>696.9325153374234</v>
      </c>
      <c r="X42" s="70">
        <v>0</v>
      </c>
      <c r="Y42" s="70">
        <v>0</v>
      </c>
      <c r="Z42" s="70">
        <v>0</v>
      </c>
      <c r="AA42" s="70">
        <v>0</v>
      </c>
      <c r="AB42" s="71"/>
      <c r="AC42" s="71"/>
      <c r="AE42">
        <f t="shared" si="11"/>
        <v>0</v>
      </c>
      <c r="AF42" s="68">
        <f t="shared" si="12"/>
        <v>0</v>
      </c>
      <c r="AG42" s="68">
        <f t="shared" si="13"/>
        <v>0</v>
      </c>
      <c r="AH42" s="68">
        <f t="shared" si="14"/>
        <v>0</v>
      </c>
      <c r="AI42" s="68">
        <f t="shared" si="15"/>
        <v>0</v>
      </c>
      <c r="AJ42" s="68">
        <f t="shared" si="16"/>
        <v>0</v>
      </c>
    </row>
    <row r="43" spans="1:36" ht="12.75">
      <c r="A43" s="14">
        <v>36</v>
      </c>
      <c r="B43" s="29" t="s">
        <v>186</v>
      </c>
      <c r="C43" s="7" t="s">
        <v>187</v>
      </c>
      <c r="D43" s="7" t="s">
        <v>188</v>
      </c>
      <c r="E43" s="54"/>
      <c r="F43" s="38">
        <v>1902.5042206571718</v>
      </c>
      <c r="G43" s="38">
        <f t="shared" si="17"/>
        <v>17</v>
      </c>
      <c r="H43" s="38"/>
      <c r="I43" s="38">
        <f t="shared" si="18"/>
        <v>1902.5042206571718</v>
      </c>
      <c r="J43" s="38"/>
      <c r="K43" s="71">
        <v>0</v>
      </c>
      <c r="L43" s="71">
        <v>0</v>
      </c>
      <c r="M43" s="71">
        <v>0</v>
      </c>
      <c r="N43" s="71">
        <v>0</v>
      </c>
      <c r="O43" s="47">
        <v>10</v>
      </c>
      <c r="P43" s="47">
        <v>10</v>
      </c>
      <c r="Q43" s="47">
        <v>31.483689933356786</v>
      </c>
      <c r="R43" s="47">
        <v>511.4529914529916</v>
      </c>
      <c r="S43" s="47">
        <v>620.5282331511839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47">
        <v>368.0804020100503</v>
      </c>
      <c r="Z43" s="47">
        <v>350.958904109589</v>
      </c>
      <c r="AA43" s="103">
        <v>0</v>
      </c>
      <c r="AB43" s="71"/>
      <c r="AC43" s="10"/>
      <c r="AE43">
        <f t="shared" si="11"/>
        <v>0</v>
      </c>
      <c r="AF43" s="68">
        <f t="shared" si="12"/>
        <v>0</v>
      </c>
      <c r="AG43" s="68">
        <f t="shared" si="13"/>
        <v>0</v>
      </c>
      <c r="AH43" s="68">
        <f t="shared" si="14"/>
        <v>0</v>
      </c>
      <c r="AI43" s="68">
        <f t="shared" si="15"/>
        <v>0</v>
      </c>
      <c r="AJ43" s="68">
        <f t="shared" si="16"/>
        <v>0</v>
      </c>
    </row>
    <row r="44" spans="1:36" ht="12.75">
      <c r="A44" s="14">
        <v>37</v>
      </c>
      <c r="B44" s="29" t="s">
        <v>189</v>
      </c>
      <c r="C44" s="7" t="s">
        <v>10</v>
      </c>
      <c r="D44" s="7" t="s">
        <v>101</v>
      </c>
      <c r="E44" s="55">
        <v>1963</v>
      </c>
      <c r="F44" s="38">
        <v>842.513661202186</v>
      </c>
      <c r="G44" s="38">
        <f t="shared" si="17"/>
        <v>17</v>
      </c>
      <c r="H44" s="38"/>
      <c r="I44" s="38">
        <f t="shared" si="18"/>
        <v>842.513661202186</v>
      </c>
      <c r="J44" s="38"/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47">
        <v>10</v>
      </c>
      <c r="S44" s="47">
        <v>832.513661202186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82">
        <v>0</v>
      </c>
      <c r="Z44" s="82">
        <v>0</v>
      </c>
      <c r="AA44" s="103">
        <v>0</v>
      </c>
      <c r="AB44" s="71"/>
      <c r="AC44" s="10"/>
      <c r="AE44">
        <f t="shared" si="11"/>
        <v>0</v>
      </c>
      <c r="AF44" s="68">
        <f t="shared" si="12"/>
        <v>0</v>
      </c>
      <c r="AG44" s="68">
        <f t="shared" si="13"/>
        <v>0</v>
      </c>
      <c r="AH44" s="68">
        <f t="shared" si="14"/>
        <v>0</v>
      </c>
      <c r="AI44" s="68">
        <f t="shared" si="15"/>
        <v>0</v>
      </c>
      <c r="AJ44" s="68">
        <f t="shared" si="16"/>
        <v>0</v>
      </c>
    </row>
    <row r="45" spans="1:36" ht="12.75">
      <c r="A45" s="14">
        <v>38</v>
      </c>
      <c r="B45" s="29" t="s">
        <v>184</v>
      </c>
      <c r="C45" s="7" t="s">
        <v>10</v>
      </c>
      <c r="D45" s="7" t="s">
        <v>69</v>
      </c>
      <c r="E45" s="56"/>
      <c r="F45" s="38">
        <v>1304.583811392653</v>
      </c>
      <c r="G45" s="38">
        <f t="shared" si="17"/>
        <v>17</v>
      </c>
      <c r="H45" s="38"/>
      <c r="I45" s="38">
        <f t="shared" si="18"/>
        <v>1304.583811392653</v>
      </c>
      <c r="J45" s="38"/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47">
        <v>734.3989431968296</v>
      </c>
      <c r="S45" s="47">
        <v>570.1848681958234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0">
        <v>0</v>
      </c>
      <c r="AB45" s="71"/>
      <c r="AC45" s="71"/>
      <c r="AE45">
        <f t="shared" si="11"/>
        <v>0</v>
      </c>
      <c r="AF45" s="68">
        <f t="shared" si="12"/>
        <v>0</v>
      </c>
      <c r="AG45" s="68">
        <f t="shared" si="13"/>
        <v>0</v>
      </c>
      <c r="AH45" s="68">
        <f t="shared" si="14"/>
        <v>0</v>
      </c>
      <c r="AI45" s="68">
        <f t="shared" si="15"/>
        <v>0</v>
      </c>
      <c r="AJ45" s="68">
        <f t="shared" si="16"/>
        <v>0</v>
      </c>
    </row>
    <row r="46" spans="1:36" ht="12.75">
      <c r="A46" s="14">
        <v>39</v>
      </c>
      <c r="B46" s="9" t="s">
        <v>107</v>
      </c>
      <c r="C46" s="7" t="s">
        <v>10</v>
      </c>
      <c r="D46" s="7" t="s">
        <v>11</v>
      </c>
      <c r="E46" s="54">
        <v>1969</v>
      </c>
      <c r="F46" s="38">
        <v>616.7776298268975</v>
      </c>
      <c r="G46" s="38">
        <f t="shared" si="17"/>
        <v>17</v>
      </c>
      <c r="H46" s="38"/>
      <c r="I46" s="38">
        <f t="shared" si="18"/>
        <v>616.7776298268975</v>
      </c>
      <c r="J46" s="38"/>
      <c r="K46" s="71">
        <v>0</v>
      </c>
      <c r="L46" s="10">
        <v>616.7776298268975</v>
      </c>
      <c r="M46" s="72">
        <v>0</v>
      </c>
      <c r="N46" s="72">
        <v>0</v>
      </c>
      <c r="O46" s="71">
        <v>0</v>
      </c>
      <c r="P46" s="71">
        <v>0</v>
      </c>
      <c r="Q46" s="71">
        <v>0</v>
      </c>
      <c r="R46" s="70">
        <v>0</v>
      </c>
      <c r="S46" s="70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106">
        <v>0</v>
      </c>
      <c r="AB46" s="82"/>
      <c r="AC46" s="10"/>
      <c r="AD46" s="86"/>
      <c r="AE46">
        <f t="shared" si="11"/>
        <v>0</v>
      </c>
      <c r="AF46" s="68">
        <f t="shared" si="12"/>
        <v>0</v>
      </c>
      <c r="AG46" s="68">
        <f t="shared" si="13"/>
        <v>0</v>
      </c>
      <c r="AH46" s="68">
        <f t="shared" si="14"/>
        <v>0</v>
      </c>
      <c r="AI46" s="68">
        <f t="shared" si="15"/>
        <v>0</v>
      </c>
      <c r="AJ46" s="68">
        <f t="shared" si="16"/>
        <v>0</v>
      </c>
    </row>
    <row r="47" spans="1:36" ht="12.75">
      <c r="A47" s="14">
        <v>40</v>
      </c>
      <c r="B47" s="9" t="s">
        <v>94</v>
      </c>
      <c r="C47" s="7" t="s">
        <v>95</v>
      </c>
      <c r="D47" s="7" t="s">
        <v>98</v>
      </c>
      <c r="E47" s="54">
        <v>1972</v>
      </c>
      <c r="F47" s="38">
        <v>2184.6270113079854</v>
      </c>
      <c r="G47" s="38">
        <f t="shared" si="17"/>
        <v>17</v>
      </c>
      <c r="H47" s="38"/>
      <c r="I47" s="38">
        <f t="shared" si="18"/>
        <v>2184.6270113079854</v>
      </c>
      <c r="J47" s="38"/>
      <c r="K47" s="71">
        <v>0</v>
      </c>
      <c r="L47" s="71">
        <v>0</v>
      </c>
      <c r="M47" s="10">
        <v>446.6181061394379</v>
      </c>
      <c r="N47" s="72">
        <v>0</v>
      </c>
      <c r="O47" s="71">
        <v>0</v>
      </c>
      <c r="P47" s="71">
        <v>0</v>
      </c>
      <c r="Q47" s="71">
        <v>0</v>
      </c>
      <c r="R47" s="70">
        <v>0</v>
      </c>
      <c r="S47" s="70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47">
        <v>657.072515666965</v>
      </c>
      <c r="Z47" s="47">
        <v>760.639903410806</v>
      </c>
      <c r="AA47" s="10">
        <v>320.2964860907764</v>
      </c>
      <c r="AB47" s="71"/>
      <c r="AC47" s="71"/>
      <c r="AE47">
        <f t="shared" si="11"/>
        <v>0</v>
      </c>
      <c r="AF47" s="68">
        <f t="shared" si="12"/>
        <v>0</v>
      </c>
      <c r="AG47" s="68">
        <f t="shared" si="13"/>
        <v>0</v>
      </c>
      <c r="AH47" s="68">
        <f t="shared" si="14"/>
        <v>0</v>
      </c>
      <c r="AI47" s="68">
        <f t="shared" si="15"/>
        <v>0</v>
      </c>
      <c r="AJ47" s="68">
        <f t="shared" si="16"/>
        <v>0</v>
      </c>
    </row>
    <row r="48" spans="1:36" ht="12.75">
      <c r="A48" s="14">
        <v>41</v>
      </c>
      <c r="B48" s="9" t="s">
        <v>97</v>
      </c>
      <c r="C48" s="7" t="s">
        <v>95</v>
      </c>
      <c r="D48" s="7" t="s">
        <v>96</v>
      </c>
      <c r="E48" s="53">
        <v>1983</v>
      </c>
      <c r="F48" s="38">
        <v>1719.9848431375815</v>
      </c>
      <c r="G48" s="38">
        <f t="shared" si="17"/>
        <v>17</v>
      </c>
      <c r="H48" s="38"/>
      <c r="I48" s="38">
        <f t="shared" si="18"/>
        <v>1719.9848431375815</v>
      </c>
      <c r="J48" s="38"/>
      <c r="K48" s="69">
        <v>0</v>
      </c>
      <c r="L48" s="72">
        <v>0</v>
      </c>
      <c r="M48" s="10">
        <v>893.4443288241414</v>
      </c>
      <c r="N48" s="10">
        <v>826.5405143134401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82">
        <v>0</v>
      </c>
      <c r="AB48" s="71"/>
      <c r="AC48" s="10"/>
      <c r="AE48">
        <f t="shared" si="11"/>
        <v>0</v>
      </c>
      <c r="AF48" s="68">
        <f t="shared" si="12"/>
        <v>0</v>
      </c>
      <c r="AG48" s="68">
        <f t="shared" si="13"/>
        <v>0</v>
      </c>
      <c r="AH48" s="68">
        <f t="shared" si="14"/>
        <v>0</v>
      </c>
      <c r="AI48" s="68">
        <f t="shared" si="15"/>
        <v>0</v>
      </c>
      <c r="AJ48" s="68">
        <f t="shared" si="16"/>
        <v>0</v>
      </c>
    </row>
    <row r="49" spans="1:36" ht="12.75">
      <c r="A49" s="14">
        <v>42</v>
      </c>
      <c r="B49" s="29" t="s">
        <v>191</v>
      </c>
      <c r="C49" s="7" t="s">
        <v>10</v>
      </c>
      <c r="D49" s="7" t="s">
        <v>192</v>
      </c>
      <c r="E49" s="53">
        <v>1991</v>
      </c>
      <c r="F49" s="38">
        <v>1352.7782026640307</v>
      </c>
      <c r="G49" s="38">
        <f t="shared" si="17"/>
        <v>17</v>
      </c>
      <c r="H49" s="38"/>
      <c r="I49" s="38">
        <f t="shared" si="18"/>
        <v>1352.7782026640307</v>
      </c>
      <c r="J49" s="38"/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47">
        <v>650.8284339925174</v>
      </c>
      <c r="S49" s="47">
        <v>701.9497686715134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/>
      <c r="AC49" s="71"/>
      <c r="AE49">
        <f t="shared" si="11"/>
        <v>0</v>
      </c>
      <c r="AF49" s="68">
        <f t="shared" si="12"/>
        <v>0</v>
      </c>
      <c r="AG49" s="68">
        <f t="shared" si="13"/>
        <v>0</v>
      </c>
      <c r="AH49" s="68">
        <f t="shared" si="14"/>
        <v>0</v>
      </c>
      <c r="AI49" s="68">
        <f t="shared" si="15"/>
        <v>0</v>
      </c>
      <c r="AJ49" s="68">
        <f t="shared" si="16"/>
        <v>0</v>
      </c>
    </row>
    <row r="50" spans="1:36" ht="12.75">
      <c r="A50" s="14">
        <v>43</v>
      </c>
      <c r="B50" s="9" t="s">
        <v>16</v>
      </c>
      <c r="C50" s="7" t="s">
        <v>10</v>
      </c>
      <c r="D50" s="7" t="s">
        <v>17</v>
      </c>
      <c r="E50" s="53">
        <v>1984</v>
      </c>
      <c r="F50" s="38">
        <v>8602.58980261693</v>
      </c>
      <c r="G50" s="38">
        <f t="shared" si="17"/>
        <v>17</v>
      </c>
      <c r="H50" s="38"/>
      <c r="I50" s="38">
        <f t="shared" si="18"/>
        <v>8194.19428022887</v>
      </c>
      <c r="J50" s="38"/>
      <c r="K50" s="10">
        <v>791.1336288790374</v>
      </c>
      <c r="L50" s="10">
        <v>800</v>
      </c>
      <c r="M50" s="10">
        <v>579.2881560426302</v>
      </c>
      <c r="N50" s="10">
        <v>795.3167468116243</v>
      </c>
      <c r="O50" s="47">
        <v>759.090909090909</v>
      </c>
      <c r="P50" s="47">
        <v>408.3955223880599</v>
      </c>
      <c r="Q50" s="71">
        <v>0</v>
      </c>
      <c r="R50" s="47">
        <v>703.1533939070017</v>
      </c>
      <c r="S50" s="47">
        <v>639.7884996695306</v>
      </c>
      <c r="T50" s="47">
        <v>792.4581005586592</v>
      </c>
      <c r="U50" s="47">
        <v>800</v>
      </c>
      <c r="V50" s="47">
        <v>737.4705420267086</v>
      </c>
      <c r="W50" s="47">
        <v>796.4943032427694</v>
      </c>
      <c r="X50" s="71">
        <v>0</v>
      </c>
      <c r="Y50" s="71">
        <v>0</v>
      </c>
      <c r="Z50" s="71">
        <v>0</v>
      </c>
      <c r="AA50" s="71">
        <v>0</v>
      </c>
      <c r="AB50" s="71"/>
      <c r="AC50" s="71"/>
      <c r="AE50">
        <f t="shared" si="11"/>
        <v>0</v>
      </c>
      <c r="AF50" s="68">
        <f t="shared" si="12"/>
        <v>0</v>
      </c>
      <c r="AG50" s="68">
        <f t="shared" si="13"/>
        <v>0</v>
      </c>
      <c r="AH50" s="68">
        <f t="shared" si="14"/>
        <v>0</v>
      </c>
      <c r="AI50" s="68">
        <f t="shared" si="15"/>
        <v>0</v>
      </c>
      <c r="AJ50" s="68">
        <f t="shared" si="16"/>
        <v>408.3955223880599</v>
      </c>
    </row>
    <row r="51" spans="1:36" ht="12.75">
      <c r="A51" s="14">
        <v>44</v>
      </c>
      <c r="B51" s="29" t="s">
        <v>193</v>
      </c>
      <c r="C51" s="7" t="s">
        <v>10</v>
      </c>
      <c r="D51" s="7" t="s">
        <v>195</v>
      </c>
      <c r="E51" s="53">
        <v>1986</v>
      </c>
      <c r="F51" s="38">
        <v>20</v>
      </c>
      <c r="G51" s="38">
        <f t="shared" si="17"/>
        <v>17</v>
      </c>
      <c r="H51" s="38"/>
      <c r="I51" s="38">
        <f t="shared" si="18"/>
        <v>20</v>
      </c>
      <c r="J51" s="38"/>
      <c r="K51" s="71">
        <v>0</v>
      </c>
      <c r="L51" s="72">
        <v>0</v>
      </c>
      <c r="M51" s="71">
        <v>0</v>
      </c>
      <c r="N51" s="72">
        <v>0</v>
      </c>
      <c r="O51" s="71">
        <v>0</v>
      </c>
      <c r="P51" s="71">
        <v>0</v>
      </c>
      <c r="Q51" s="71">
        <v>0</v>
      </c>
      <c r="R51" s="47">
        <v>10</v>
      </c>
      <c r="S51" s="47">
        <v>10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82">
        <v>0</v>
      </c>
      <c r="Z51" s="82">
        <v>0</v>
      </c>
      <c r="AA51" s="82">
        <v>0</v>
      </c>
      <c r="AB51" s="71"/>
      <c r="AC51" s="10"/>
      <c r="AD51" s="86"/>
      <c r="AE51">
        <f t="shared" si="11"/>
        <v>0</v>
      </c>
      <c r="AF51" s="68">
        <f t="shared" si="12"/>
        <v>0</v>
      </c>
      <c r="AG51" s="68">
        <f t="shared" si="13"/>
        <v>0</v>
      </c>
      <c r="AH51" s="68">
        <f t="shared" si="14"/>
        <v>0</v>
      </c>
      <c r="AI51" s="68">
        <f t="shared" si="15"/>
        <v>0</v>
      </c>
      <c r="AJ51" s="68">
        <f t="shared" si="16"/>
        <v>0</v>
      </c>
    </row>
    <row r="52" spans="1:36" ht="12.75">
      <c r="A52" s="14">
        <v>45</v>
      </c>
      <c r="B52" s="29" t="s">
        <v>194</v>
      </c>
      <c r="C52" s="7" t="s">
        <v>10</v>
      </c>
      <c r="D52" s="7" t="s">
        <v>11</v>
      </c>
      <c r="E52" s="53">
        <v>1978</v>
      </c>
      <c r="F52" s="38">
        <v>573.713457181886</v>
      </c>
      <c r="G52" s="38">
        <f t="shared" si="17"/>
        <v>17</v>
      </c>
      <c r="H52" s="38"/>
      <c r="I52" s="38">
        <f t="shared" si="18"/>
        <v>573.713457181886</v>
      </c>
      <c r="J52" s="38"/>
      <c r="K52" s="71">
        <v>0</v>
      </c>
      <c r="L52" s="71">
        <v>0</v>
      </c>
      <c r="M52" s="72">
        <v>0</v>
      </c>
      <c r="N52" s="72">
        <v>0</v>
      </c>
      <c r="O52" s="71">
        <v>0</v>
      </c>
      <c r="P52" s="71">
        <v>0</v>
      </c>
      <c r="Q52" s="71">
        <v>0</v>
      </c>
      <c r="R52" s="47">
        <v>422.1272047033669</v>
      </c>
      <c r="S52" s="47">
        <v>151.58625247851916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/>
      <c r="AC52" s="71"/>
      <c r="AE52">
        <f t="shared" si="11"/>
        <v>0</v>
      </c>
      <c r="AF52" s="68">
        <f t="shared" si="12"/>
        <v>0</v>
      </c>
      <c r="AG52" s="68">
        <f t="shared" si="13"/>
        <v>0</v>
      </c>
      <c r="AH52" s="68">
        <f t="shared" si="14"/>
        <v>0</v>
      </c>
      <c r="AI52" s="68">
        <f t="shared" si="15"/>
        <v>0</v>
      </c>
      <c r="AJ52" s="68">
        <f t="shared" si="16"/>
        <v>0</v>
      </c>
    </row>
    <row r="53" spans="1:36" ht="12.75">
      <c r="A53" s="14">
        <v>46</v>
      </c>
      <c r="B53" s="29" t="s">
        <v>190</v>
      </c>
      <c r="C53" s="7" t="s">
        <v>10</v>
      </c>
      <c r="D53" s="7" t="s">
        <v>101</v>
      </c>
      <c r="E53" s="55">
        <v>1965</v>
      </c>
      <c r="F53" s="38">
        <v>1572.905982905983</v>
      </c>
      <c r="G53" s="38">
        <f t="shared" si="17"/>
        <v>17</v>
      </c>
      <c r="H53" s="38"/>
      <c r="I53" s="38">
        <f t="shared" si="18"/>
        <v>1572.905982905983</v>
      </c>
      <c r="J53" s="38"/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47">
        <v>692.9059829059828</v>
      </c>
      <c r="S53" s="47">
        <v>880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/>
      <c r="AC53" s="71"/>
      <c r="AE53">
        <f t="shared" si="11"/>
        <v>0</v>
      </c>
      <c r="AF53" s="68">
        <f t="shared" si="12"/>
        <v>0</v>
      </c>
      <c r="AG53" s="68">
        <f t="shared" si="13"/>
        <v>0</v>
      </c>
      <c r="AH53" s="68">
        <f t="shared" si="14"/>
        <v>0</v>
      </c>
      <c r="AI53" s="68">
        <f t="shared" si="15"/>
        <v>0</v>
      </c>
      <c r="AJ53" s="68">
        <f t="shared" si="16"/>
        <v>0</v>
      </c>
    </row>
    <row r="54" spans="1:36" ht="12.75">
      <c r="A54" s="14">
        <v>47</v>
      </c>
      <c r="B54" s="29" t="s">
        <v>185</v>
      </c>
      <c r="C54" s="7" t="s">
        <v>10</v>
      </c>
      <c r="D54" s="7" t="s">
        <v>17</v>
      </c>
      <c r="E54" s="52">
        <v>1997</v>
      </c>
      <c r="F54" s="38">
        <v>1371.8374091209516</v>
      </c>
      <c r="G54" s="38">
        <f t="shared" si="17"/>
        <v>17</v>
      </c>
      <c r="H54" s="38"/>
      <c r="I54" s="38">
        <f t="shared" si="18"/>
        <v>1371.8374091209516</v>
      </c>
      <c r="J54" s="38"/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47">
        <v>880</v>
      </c>
      <c r="S54" s="47">
        <v>491.8374091209516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82">
        <v>0</v>
      </c>
      <c r="AB54" s="71"/>
      <c r="AC54" s="10"/>
      <c r="AE54">
        <f t="shared" si="11"/>
        <v>0</v>
      </c>
      <c r="AF54" s="68">
        <f t="shared" si="12"/>
        <v>0</v>
      </c>
      <c r="AG54" s="68">
        <f t="shared" si="13"/>
        <v>0</v>
      </c>
      <c r="AH54" s="68">
        <f t="shared" si="14"/>
        <v>0</v>
      </c>
      <c r="AI54" s="68">
        <f t="shared" si="15"/>
        <v>0</v>
      </c>
      <c r="AJ54" s="68">
        <f t="shared" si="16"/>
        <v>0</v>
      </c>
    </row>
    <row r="55" spans="1:36" ht="12.75">
      <c r="A55" s="14">
        <v>48</v>
      </c>
      <c r="B55" s="9" t="s">
        <v>198</v>
      </c>
      <c r="C55" s="7" t="s">
        <v>187</v>
      </c>
      <c r="D55" s="7" t="s">
        <v>201</v>
      </c>
      <c r="E55" s="8"/>
      <c r="F55" s="38">
        <v>7174.988826159504</v>
      </c>
      <c r="G55" s="38">
        <f t="shared" si="17"/>
        <v>17</v>
      </c>
      <c r="H55" s="38"/>
      <c r="I55" s="38">
        <f t="shared" si="18"/>
        <v>7174.988826159504</v>
      </c>
      <c r="J55" s="38"/>
      <c r="K55" s="71">
        <v>0</v>
      </c>
      <c r="L55" s="71">
        <v>0</v>
      </c>
      <c r="M55" s="71">
        <v>0</v>
      </c>
      <c r="N55" s="71">
        <v>0</v>
      </c>
      <c r="O55" s="47">
        <v>804.2843232716652</v>
      </c>
      <c r="P55" s="47">
        <v>591.9476268412437</v>
      </c>
      <c r="Q55" s="47">
        <v>990.7688599662573</v>
      </c>
      <c r="R55" s="47">
        <v>0</v>
      </c>
      <c r="S55" s="47">
        <v>949.5042961004626</v>
      </c>
      <c r="T55" s="71">
        <v>0</v>
      </c>
      <c r="U55" s="71">
        <v>0</v>
      </c>
      <c r="V55" s="71">
        <v>0</v>
      </c>
      <c r="W55" s="71">
        <v>0</v>
      </c>
      <c r="X55" s="47">
        <v>885.8318425760284</v>
      </c>
      <c r="Y55" s="47">
        <v>1050</v>
      </c>
      <c r="Z55" s="47">
        <v>946.9966797464533</v>
      </c>
      <c r="AA55" s="84">
        <v>955.6551976573941</v>
      </c>
      <c r="AB55" s="71"/>
      <c r="AC55" s="10"/>
      <c r="AE55">
        <f t="shared" si="11"/>
        <v>0</v>
      </c>
      <c r="AF55" s="68">
        <f t="shared" si="12"/>
        <v>0</v>
      </c>
      <c r="AG55" s="68">
        <f t="shared" si="13"/>
        <v>0</v>
      </c>
      <c r="AH55" s="68">
        <f t="shared" si="14"/>
        <v>0</v>
      </c>
      <c r="AI55" s="68">
        <f t="shared" si="15"/>
        <v>0</v>
      </c>
      <c r="AJ55" s="68">
        <f t="shared" si="16"/>
        <v>0</v>
      </c>
    </row>
    <row r="56" spans="1:36" ht="12.75">
      <c r="A56" s="14">
        <v>49</v>
      </c>
      <c r="B56" s="29" t="s">
        <v>196</v>
      </c>
      <c r="C56" s="7" t="s">
        <v>10</v>
      </c>
      <c r="D56" s="7" t="s">
        <v>163</v>
      </c>
      <c r="E56" s="53"/>
      <c r="F56" s="38">
        <v>99.9518973810793</v>
      </c>
      <c r="G56" s="38">
        <f t="shared" si="17"/>
        <v>17</v>
      </c>
      <c r="H56" s="38"/>
      <c r="I56" s="38">
        <f t="shared" si="18"/>
        <v>99.9518973810793</v>
      </c>
      <c r="J56" s="38"/>
      <c r="K56" s="71">
        <v>0</v>
      </c>
      <c r="L56" s="71">
        <v>0</v>
      </c>
      <c r="M56" s="69">
        <v>0</v>
      </c>
      <c r="N56" s="72">
        <v>0</v>
      </c>
      <c r="O56" s="71">
        <v>0</v>
      </c>
      <c r="P56" s="71">
        <v>0</v>
      </c>
      <c r="Q56" s="71">
        <v>0</v>
      </c>
      <c r="R56" s="47">
        <v>89.9518973810793</v>
      </c>
      <c r="S56" s="47">
        <v>10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82">
        <v>0</v>
      </c>
      <c r="Z56" s="82">
        <v>0</v>
      </c>
      <c r="AA56" s="71">
        <v>0</v>
      </c>
      <c r="AB56" s="71"/>
      <c r="AC56" s="71"/>
      <c r="AE56">
        <f t="shared" si="11"/>
        <v>0</v>
      </c>
      <c r="AF56" s="68">
        <f t="shared" si="12"/>
        <v>0</v>
      </c>
      <c r="AG56" s="68">
        <f t="shared" si="13"/>
        <v>0</v>
      </c>
      <c r="AH56" s="68">
        <f t="shared" si="14"/>
        <v>0</v>
      </c>
      <c r="AI56" s="68">
        <f t="shared" si="15"/>
        <v>0</v>
      </c>
      <c r="AJ56" s="68">
        <f t="shared" si="16"/>
        <v>0</v>
      </c>
    </row>
    <row r="57" spans="1:29" ht="12.75">
      <c r="A57" s="14">
        <v>50</v>
      </c>
      <c r="B57" s="29" t="s">
        <v>181</v>
      </c>
      <c r="C57" s="7" t="s">
        <v>10</v>
      </c>
      <c r="D57" s="7" t="s">
        <v>69</v>
      </c>
      <c r="E57" s="56">
        <v>2002</v>
      </c>
      <c r="F57" s="38">
        <v>971.6853817317383</v>
      </c>
      <c r="G57" s="38">
        <f t="shared" si="17"/>
        <v>17</v>
      </c>
      <c r="H57" s="101"/>
      <c r="I57" s="38">
        <f t="shared" si="18"/>
        <v>971.6853817317383</v>
      </c>
      <c r="J57" s="101"/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47">
        <v>407.3778071334215</v>
      </c>
      <c r="S57" s="47">
        <v>564.3075745983168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82"/>
      <c r="AC57" s="11"/>
    </row>
    <row r="58" spans="1:29" ht="12.75">
      <c r="A58" s="14">
        <v>51</v>
      </c>
      <c r="B58" s="9" t="s">
        <v>199</v>
      </c>
      <c r="C58" s="7" t="s">
        <v>187</v>
      </c>
      <c r="D58" s="7" t="s">
        <v>202</v>
      </c>
      <c r="E58" s="54">
        <v>1971</v>
      </c>
      <c r="F58" s="38">
        <v>10512.054773572074</v>
      </c>
      <c r="G58" s="38">
        <f t="shared" si="17"/>
        <v>17</v>
      </c>
      <c r="H58" s="101"/>
      <c r="I58" s="38">
        <f t="shared" si="18"/>
        <v>10512.054773572074</v>
      </c>
      <c r="J58" s="101"/>
      <c r="K58" s="69">
        <v>0</v>
      </c>
      <c r="L58" s="69">
        <v>0</v>
      </c>
      <c r="M58" s="69">
        <v>0</v>
      </c>
      <c r="N58" s="69">
        <v>0</v>
      </c>
      <c r="O58" s="47">
        <v>662.1226874391435</v>
      </c>
      <c r="P58" s="47">
        <v>840.3927986906709</v>
      </c>
      <c r="Q58" s="47">
        <v>962.6657025789349</v>
      </c>
      <c r="R58" s="47">
        <v>784.286477819348</v>
      </c>
      <c r="S58" s="47">
        <v>774.6530072703238</v>
      </c>
      <c r="T58" s="47">
        <v>942.1531869309052</v>
      </c>
      <c r="U58" s="47">
        <v>947.2406181015451</v>
      </c>
      <c r="V58" s="47">
        <v>971.8263175339741</v>
      </c>
      <c r="W58" s="47">
        <v>928.9596273291925</v>
      </c>
      <c r="X58" s="47">
        <v>1050</v>
      </c>
      <c r="Y58" s="47">
        <v>606.3115487914055</v>
      </c>
      <c r="Z58" s="47">
        <v>1041.4428010866286</v>
      </c>
      <c r="AA58" s="71">
        <v>0</v>
      </c>
      <c r="AB58" s="82"/>
      <c r="AC58" s="11"/>
    </row>
    <row r="59" spans="1:29" ht="12.75">
      <c r="A59" s="14">
        <v>52</v>
      </c>
      <c r="B59" s="9" t="s">
        <v>12</v>
      </c>
      <c r="C59" s="7" t="s">
        <v>10</v>
      </c>
      <c r="D59" s="7" t="s">
        <v>13</v>
      </c>
      <c r="E59" s="56">
        <v>2000</v>
      </c>
      <c r="F59" s="38">
        <v>6439.528598379077</v>
      </c>
      <c r="G59" s="38">
        <f t="shared" si="17"/>
        <v>17</v>
      </c>
      <c r="H59" s="101"/>
      <c r="I59" s="38">
        <f t="shared" si="18"/>
        <v>6439.528598379077</v>
      </c>
      <c r="J59" s="101"/>
      <c r="K59" s="10">
        <v>630.5256491450285</v>
      </c>
      <c r="L59" s="10">
        <v>700</v>
      </c>
      <c r="M59" s="69">
        <v>0</v>
      </c>
      <c r="N59" s="10">
        <v>656.6211729988933</v>
      </c>
      <c r="O59" s="47">
        <v>381.06060606060623</v>
      </c>
      <c r="P59" s="47">
        <v>476.1194029850747</v>
      </c>
      <c r="Q59" s="47">
        <v>565.4717642932305</v>
      </c>
      <c r="R59" s="71">
        <v>0</v>
      </c>
      <c r="S59" s="71">
        <v>0</v>
      </c>
      <c r="T59" s="47">
        <v>523.4636871508382</v>
      </c>
      <c r="U59" s="47">
        <v>425.522429646141</v>
      </c>
      <c r="V59" s="47">
        <v>583.5035349567951</v>
      </c>
      <c r="W59" s="47">
        <v>736.1963190184048</v>
      </c>
      <c r="X59" s="71">
        <v>0</v>
      </c>
      <c r="Y59" s="71">
        <v>0</v>
      </c>
      <c r="Z59" s="71">
        <v>0</v>
      </c>
      <c r="AA59" s="10">
        <v>761.0440321240652</v>
      </c>
      <c r="AB59" s="84"/>
      <c r="AC59" s="11"/>
    </row>
    <row r="60" spans="1:29" ht="12.75">
      <c r="A60" s="14">
        <v>53</v>
      </c>
      <c r="B60" s="9" t="s">
        <v>200</v>
      </c>
      <c r="C60" s="7" t="s">
        <v>187</v>
      </c>
      <c r="D60" s="7" t="s">
        <v>203</v>
      </c>
      <c r="E60" s="54">
        <v>1975</v>
      </c>
      <c r="F60" s="101">
        <v>6800.5640673220205</v>
      </c>
      <c r="G60" s="101">
        <f t="shared" si="17"/>
        <v>17</v>
      </c>
      <c r="H60" s="101"/>
      <c r="I60" s="101">
        <f t="shared" si="18"/>
        <v>6800.5640673220205</v>
      </c>
      <c r="J60" s="101"/>
      <c r="K60" s="71">
        <v>0</v>
      </c>
      <c r="L60" s="71">
        <v>0</v>
      </c>
      <c r="M60" s="71">
        <v>0</v>
      </c>
      <c r="N60" s="71">
        <v>0</v>
      </c>
      <c r="O60" s="47">
        <v>706.9133398247325</v>
      </c>
      <c r="P60" s="47">
        <v>777.7414075286417</v>
      </c>
      <c r="Q60" s="47">
        <v>748.7105326584721</v>
      </c>
      <c r="R60" s="47">
        <v>873.0625334045966</v>
      </c>
      <c r="S60" s="47">
        <v>830.2709847984137</v>
      </c>
      <c r="T60" s="71">
        <v>0</v>
      </c>
      <c r="U60" s="71">
        <v>0</v>
      </c>
      <c r="V60" s="71">
        <v>0</v>
      </c>
      <c r="W60" s="71">
        <v>0</v>
      </c>
      <c r="X60" s="47">
        <v>934.2933810375669</v>
      </c>
      <c r="Y60" s="47">
        <v>1015.2193375111905</v>
      </c>
      <c r="Z60" s="47">
        <v>914.3525505584064</v>
      </c>
      <c r="AA60" s="71">
        <v>0</v>
      </c>
      <c r="AB60" s="82"/>
      <c r="AC60" s="11"/>
    </row>
  </sheetData>
  <sheetProtection/>
  <mergeCells count="3">
    <mergeCell ref="F2:F6"/>
    <mergeCell ref="B2:E6"/>
    <mergeCell ref="J2:J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9"/>
  <sheetViews>
    <sheetView zoomScale="75" zoomScaleNormal="75" zoomScalePageLayoutView="0" workbookViewId="0" topLeftCell="A1">
      <pane xSplit="10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42" sqref="H42"/>
    </sheetView>
  </sheetViews>
  <sheetFormatPr defaultColWidth="9.140625" defaultRowHeight="12.75"/>
  <cols>
    <col min="1" max="1" width="4.7109375" style="14" customWidth="1"/>
    <col min="2" max="2" width="25.421875" style="0" customWidth="1"/>
    <col min="3" max="3" width="5.140625" style="7" customWidth="1"/>
    <col min="4" max="4" width="30.8515625" style="7" customWidth="1"/>
    <col min="5" max="5" width="5.8515625" style="8" customWidth="1"/>
    <col min="6" max="8" width="8.57421875" style="39" customWidth="1"/>
    <col min="9" max="10" width="1.7109375" style="39" customWidth="1"/>
    <col min="11" max="19" width="7.421875" style="62" customWidth="1"/>
    <col min="20" max="26" width="7.421875" style="7" customWidth="1"/>
    <col min="30" max="30" width="9.140625" style="115" customWidth="1"/>
    <col min="31" max="33" width="7.421875" style="0" customWidth="1"/>
    <col min="34" max="34" width="7.8515625" style="0" customWidth="1"/>
    <col min="35" max="35" width="7.140625" style="0" customWidth="1"/>
  </cols>
  <sheetData>
    <row r="1" spans="6:30" ht="222" customHeight="1">
      <c r="F1" s="37"/>
      <c r="G1" s="58"/>
      <c r="H1" s="58"/>
      <c r="I1" s="58"/>
      <c r="J1" s="58"/>
      <c r="K1" s="77" t="s">
        <v>153</v>
      </c>
      <c r="L1" s="77" t="s">
        <v>155</v>
      </c>
      <c r="M1" s="77" t="s">
        <v>156</v>
      </c>
      <c r="N1" s="77" t="s">
        <v>157</v>
      </c>
      <c r="O1" s="78" t="s">
        <v>165</v>
      </c>
      <c r="P1" s="67" t="s">
        <v>168</v>
      </c>
      <c r="Q1" s="67" t="s">
        <v>169</v>
      </c>
      <c r="R1" s="67" t="s">
        <v>175</v>
      </c>
      <c r="S1" s="67" t="s">
        <v>176</v>
      </c>
      <c r="T1" s="67" t="s">
        <v>288</v>
      </c>
      <c r="U1" s="67" t="s">
        <v>289</v>
      </c>
      <c r="V1" s="67" t="s">
        <v>290</v>
      </c>
      <c r="W1" s="67" t="s">
        <v>291</v>
      </c>
      <c r="X1" s="67" t="s">
        <v>293</v>
      </c>
      <c r="Y1" s="67" t="s">
        <v>314</v>
      </c>
      <c r="Z1" s="67" t="s">
        <v>315</v>
      </c>
      <c r="AA1" s="97" t="s">
        <v>319</v>
      </c>
      <c r="AB1" s="97" t="s">
        <v>352</v>
      </c>
      <c r="AC1" s="97" t="s">
        <v>353</v>
      </c>
      <c r="AD1" s="114" t="s">
        <v>154</v>
      </c>
    </row>
    <row r="2" spans="2:29" ht="15" customHeight="1">
      <c r="B2" s="359" t="s">
        <v>89</v>
      </c>
      <c r="C2" s="360"/>
      <c r="D2" s="360"/>
      <c r="E2" s="360"/>
      <c r="F2" s="365" t="s">
        <v>154</v>
      </c>
      <c r="G2" s="365" t="s">
        <v>312</v>
      </c>
      <c r="H2" s="365" t="s">
        <v>313</v>
      </c>
      <c r="I2" s="365"/>
      <c r="J2" s="36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88"/>
      <c r="AB2" s="88"/>
      <c r="AC2" s="88"/>
    </row>
    <row r="3" spans="2:29" ht="15" customHeight="1">
      <c r="B3" s="361"/>
      <c r="C3" s="362"/>
      <c r="D3" s="362"/>
      <c r="E3" s="362"/>
      <c r="F3" s="366"/>
      <c r="G3" s="366"/>
      <c r="H3" s="366"/>
      <c r="I3" s="366"/>
      <c r="J3" s="36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88"/>
      <c r="AB3" s="88"/>
      <c r="AC3" s="88"/>
    </row>
    <row r="4" spans="2:29" ht="15" customHeight="1">
      <c r="B4" s="361"/>
      <c r="C4" s="362"/>
      <c r="D4" s="362"/>
      <c r="E4" s="362"/>
      <c r="F4" s="366"/>
      <c r="G4" s="366"/>
      <c r="H4" s="366"/>
      <c r="I4" s="366"/>
      <c r="J4" s="36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88"/>
      <c r="AB4" s="88"/>
      <c r="AC4" s="88"/>
    </row>
    <row r="5" spans="2:29" ht="15" customHeight="1">
      <c r="B5" s="361"/>
      <c r="C5" s="362"/>
      <c r="D5" s="362"/>
      <c r="E5" s="362"/>
      <c r="F5" s="366"/>
      <c r="G5" s="366"/>
      <c r="H5" s="366"/>
      <c r="I5" s="366"/>
      <c r="J5" s="366"/>
      <c r="K5" s="15"/>
      <c r="L5" s="15"/>
      <c r="M5" s="15"/>
      <c r="N5" s="15"/>
      <c r="O5" s="15"/>
      <c r="P5" s="15"/>
      <c r="Q5" s="15"/>
      <c r="R5" s="15"/>
      <c r="S5" s="15"/>
      <c r="T5" s="44"/>
      <c r="U5" s="44"/>
      <c r="V5" s="44"/>
      <c r="W5" s="44"/>
      <c r="X5" s="44"/>
      <c r="Y5" s="44"/>
      <c r="Z5" s="44"/>
      <c r="AA5" s="88"/>
      <c r="AB5" s="88"/>
      <c r="AC5" s="88"/>
    </row>
    <row r="6" spans="2:29" ht="15" customHeight="1">
      <c r="B6" s="363"/>
      <c r="C6" s="364"/>
      <c r="D6" s="364"/>
      <c r="E6" s="364"/>
      <c r="F6" s="367"/>
      <c r="G6" s="367"/>
      <c r="H6" s="367"/>
      <c r="I6" s="367"/>
      <c r="J6" s="368"/>
      <c r="K6" s="74"/>
      <c r="L6" s="74"/>
      <c r="M6" s="74"/>
      <c r="N6" s="74"/>
      <c r="O6" s="74"/>
      <c r="P6" s="74"/>
      <c r="Q6" s="74"/>
      <c r="R6" s="13"/>
      <c r="S6" s="13"/>
      <c r="T6" s="45"/>
      <c r="U6" s="45"/>
      <c r="V6" s="45"/>
      <c r="W6" s="45"/>
      <c r="X6" s="45"/>
      <c r="Y6" s="45"/>
      <c r="Z6" s="45"/>
      <c r="AA6" s="88"/>
      <c r="AB6" s="88"/>
      <c r="AC6" s="88"/>
    </row>
    <row r="7" spans="6:29" ht="3.75" customHeight="1">
      <c r="F7" s="37"/>
      <c r="G7" s="37"/>
      <c r="H7" s="37"/>
      <c r="I7" s="37"/>
      <c r="J7" s="37"/>
      <c r="K7" s="75"/>
      <c r="M7" s="75"/>
      <c r="N7" s="75"/>
      <c r="O7" s="75"/>
      <c r="P7" s="75"/>
      <c r="Q7" s="75"/>
      <c r="R7" s="75"/>
      <c r="S7" s="75"/>
      <c r="T7" s="46"/>
      <c r="U7" s="46"/>
      <c r="V7" s="46"/>
      <c r="W7" s="46"/>
      <c r="X7" s="46"/>
      <c r="Y7" s="46"/>
      <c r="Z7" s="46"/>
      <c r="AA7" s="88"/>
      <c r="AB7" s="88"/>
      <c r="AC7" s="88"/>
    </row>
    <row r="8" spans="1:38" ht="12.75">
      <c r="A8" s="14">
        <v>1</v>
      </c>
      <c r="B8" s="100" t="s">
        <v>44</v>
      </c>
      <c r="C8" s="7" t="s">
        <v>10</v>
      </c>
      <c r="D8" s="7" t="s">
        <v>45</v>
      </c>
      <c r="E8" s="8">
        <v>1983</v>
      </c>
      <c r="F8" s="38">
        <v>10045.200013430447</v>
      </c>
      <c r="G8" s="38">
        <f>COUNTA(K8,L8,M8,N8,O8,P8,Q8,R8,S8,T8,U8,V8,W8,X8,Y8,Z8,AA8,AB8,AC8)</f>
        <v>19</v>
      </c>
      <c r="H8" s="38">
        <f aca="true" t="shared" si="0" ref="H8:H39">F8-AD8</f>
        <v>10045.200013430447</v>
      </c>
      <c r="I8" s="73"/>
      <c r="J8" s="73"/>
      <c r="K8" s="76">
        <v>953.26842837274</v>
      </c>
      <c r="L8" s="76">
        <v>816.9741697416974</v>
      </c>
      <c r="M8" s="76">
        <v>934.0826824156983</v>
      </c>
      <c r="N8" s="76">
        <v>0</v>
      </c>
      <c r="O8" s="72">
        <v>0</v>
      </c>
      <c r="P8" s="72">
        <v>0</v>
      </c>
      <c r="Q8" s="72">
        <v>0</v>
      </c>
      <c r="R8" s="72">
        <v>0</v>
      </c>
      <c r="S8" s="76">
        <v>1005.3425774877651</v>
      </c>
      <c r="T8" s="71">
        <v>0</v>
      </c>
      <c r="U8" s="76">
        <v>841.3835448219402</v>
      </c>
      <c r="V8" s="76">
        <v>949.0647482014388</v>
      </c>
      <c r="W8" s="76">
        <v>822.9335494327395</v>
      </c>
      <c r="X8" s="76">
        <v>920.0177409816679</v>
      </c>
      <c r="Y8" s="71">
        <v>0</v>
      </c>
      <c r="Z8" s="71">
        <v>0</v>
      </c>
      <c r="AA8" s="84">
        <v>921.6078066914503</v>
      </c>
      <c r="AB8" s="76">
        <v>903.3594109526</v>
      </c>
      <c r="AC8" s="84">
        <v>977.1653543307089</v>
      </c>
      <c r="AD8" s="116">
        <f>SUM(AE8:AL8)</f>
        <v>0</v>
      </c>
      <c r="AE8" s="68">
        <f>SMALL(K8:AC8,1)</f>
        <v>0</v>
      </c>
      <c r="AF8" s="68">
        <f>SMALL(K8:AC8,2)</f>
        <v>0</v>
      </c>
      <c r="AG8" s="68">
        <f>SMALL(K8:AC8,3)</f>
        <v>0</v>
      </c>
      <c r="AH8" s="68">
        <f>SMALL(K8:AC8,4)</f>
        <v>0</v>
      </c>
      <c r="AI8" s="68">
        <f>SMALL(K8:AC8,5)</f>
        <v>0</v>
      </c>
      <c r="AJ8" s="68">
        <f>SMALL(K8:AC8,6)</f>
        <v>0</v>
      </c>
      <c r="AK8" s="68">
        <f>SMALL(K8:AC8,7)</f>
        <v>0</v>
      </c>
      <c r="AL8" s="68">
        <f>SMALL(K8:AC8,8)</f>
        <v>0</v>
      </c>
    </row>
    <row r="9" spans="1:38" ht="12.75">
      <c r="A9" s="14">
        <v>2</v>
      </c>
      <c r="B9" s="100" t="s">
        <v>345</v>
      </c>
      <c r="C9" s="7" t="s">
        <v>10</v>
      </c>
      <c r="D9" s="7" t="s">
        <v>19</v>
      </c>
      <c r="E9" s="8">
        <v>1970</v>
      </c>
      <c r="F9" s="38">
        <v>620.3802211101888</v>
      </c>
      <c r="G9" s="38">
        <f aca="true" t="shared" si="1" ref="G9:G72">COUNTA(K9,L9,M9,N9,O9,P9,Q9,R9,S9,T9,U9,V9,W9,X9,Y9,Z9,AA9,AB9,AC9)</f>
        <v>19</v>
      </c>
      <c r="H9" s="38">
        <f t="shared" si="0"/>
        <v>620.3802211101888</v>
      </c>
      <c r="I9" s="37"/>
      <c r="J9" s="37"/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89">
        <v>296.364473078693</v>
      </c>
      <c r="AC9" s="84">
        <v>324.0157480314958</v>
      </c>
      <c r="AD9" s="116">
        <f aca="true" t="shared" si="2" ref="AD9:AD49">SUM(AE9:AL9)</f>
        <v>0</v>
      </c>
      <c r="AE9" s="68">
        <f aca="true" t="shared" si="3" ref="AE9:AE72">SMALL(K9:AC9,1)</f>
        <v>0</v>
      </c>
      <c r="AF9" s="68">
        <f aca="true" t="shared" si="4" ref="AF9:AF72">SMALL(K9:AC9,2)</f>
        <v>0</v>
      </c>
      <c r="AG9" s="68">
        <f aca="true" t="shared" si="5" ref="AG9:AG72">SMALL(K9:AC9,3)</f>
        <v>0</v>
      </c>
      <c r="AH9" s="68">
        <f aca="true" t="shared" si="6" ref="AH9:AH72">SMALL(K9:AC9,4)</f>
        <v>0</v>
      </c>
      <c r="AI9" s="68">
        <f aca="true" t="shared" si="7" ref="AI9:AI72">SMALL(K9:AC9,5)</f>
        <v>0</v>
      </c>
      <c r="AJ9" s="68">
        <f aca="true" t="shared" si="8" ref="AJ9:AJ72">SMALL(K9:AC9,6)</f>
        <v>0</v>
      </c>
      <c r="AK9" s="68">
        <f aca="true" t="shared" si="9" ref="AK9:AK49">SMALL(K9:AC9,7)</f>
        <v>0</v>
      </c>
      <c r="AL9" s="68">
        <f aca="true" t="shared" si="10" ref="AL9:AL49">SMALL(K9:AC9,8)</f>
        <v>0</v>
      </c>
    </row>
    <row r="10" spans="1:38" ht="12.75">
      <c r="A10" s="14">
        <v>3</v>
      </c>
      <c r="B10" s="100" t="s">
        <v>115</v>
      </c>
      <c r="C10" s="7" t="s">
        <v>10</v>
      </c>
      <c r="D10" s="7" t="s">
        <v>47</v>
      </c>
      <c r="E10" s="8">
        <v>1987</v>
      </c>
      <c r="F10" s="38">
        <v>8858.633573416864</v>
      </c>
      <c r="G10" s="38">
        <f t="shared" si="1"/>
        <v>19</v>
      </c>
      <c r="H10" s="38">
        <f t="shared" si="0"/>
        <v>8858.633573416864</v>
      </c>
      <c r="I10" s="73"/>
      <c r="J10" s="73"/>
      <c r="K10" s="69">
        <v>0</v>
      </c>
      <c r="L10" s="76">
        <v>759.4095940959411</v>
      </c>
      <c r="M10" s="76">
        <v>638.0262907220424</v>
      </c>
      <c r="N10" s="76">
        <v>937.8866617173967</v>
      </c>
      <c r="O10" s="72">
        <v>0</v>
      </c>
      <c r="P10" s="72">
        <v>0</v>
      </c>
      <c r="Q10" s="72">
        <v>0</v>
      </c>
      <c r="R10" s="76">
        <v>0</v>
      </c>
      <c r="S10" s="76">
        <v>1021.0440456769985</v>
      </c>
      <c r="T10" s="71">
        <v>0</v>
      </c>
      <c r="U10" s="76">
        <v>913.4261154318459</v>
      </c>
      <c r="V10" s="71">
        <v>0</v>
      </c>
      <c r="W10" s="71">
        <v>0</v>
      </c>
      <c r="X10" s="76">
        <v>0</v>
      </c>
      <c r="Y10" s="47">
        <v>962.5809435707677</v>
      </c>
      <c r="Z10" s="76">
        <v>1000.4035874439464</v>
      </c>
      <c r="AA10" s="10">
        <v>918.5408921933085</v>
      </c>
      <c r="AB10" s="76">
        <v>775.4256787850898</v>
      </c>
      <c r="AC10" s="84">
        <v>931.8897637795276</v>
      </c>
      <c r="AD10" s="116">
        <f t="shared" si="2"/>
        <v>0</v>
      </c>
      <c r="AE10" s="68">
        <f t="shared" si="3"/>
        <v>0</v>
      </c>
      <c r="AF10" s="68">
        <f t="shared" si="4"/>
        <v>0</v>
      </c>
      <c r="AG10" s="68">
        <f t="shared" si="5"/>
        <v>0</v>
      </c>
      <c r="AH10" s="68">
        <f t="shared" si="6"/>
        <v>0</v>
      </c>
      <c r="AI10" s="68">
        <f t="shared" si="7"/>
        <v>0</v>
      </c>
      <c r="AJ10" s="68">
        <f t="shared" si="8"/>
        <v>0</v>
      </c>
      <c r="AK10" s="68">
        <f t="shared" si="9"/>
        <v>0</v>
      </c>
      <c r="AL10" s="68">
        <f t="shared" si="10"/>
        <v>0</v>
      </c>
    </row>
    <row r="11" spans="1:38" ht="12.75">
      <c r="A11" s="14">
        <v>4</v>
      </c>
      <c r="B11" s="100" t="s">
        <v>309</v>
      </c>
      <c r="C11" s="7" t="s">
        <v>10</v>
      </c>
      <c r="D11" s="7" t="s">
        <v>215</v>
      </c>
      <c r="F11" s="38">
        <v>4484.27909716881</v>
      </c>
      <c r="G11" s="38">
        <f t="shared" si="1"/>
        <v>19</v>
      </c>
      <c r="H11" s="38">
        <f t="shared" si="0"/>
        <v>4484.27909716881</v>
      </c>
      <c r="I11" s="73"/>
      <c r="J11" s="73"/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76">
        <v>691.6392844103686</v>
      </c>
      <c r="U11" s="76">
        <v>545.2549019607843</v>
      </c>
      <c r="V11" s="76">
        <v>730.4835318850737</v>
      </c>
      <c r="W11" s="76">
        <v>737.5703942075625</v>
      </c>
      <c r="X11" s="46">
        <v>0</v>
      </c>
      <c r="Y11" s="70">
        <v>0</v>
      </c>
      <c r="Z11" s="70">
        <v>0</v>
      </c>
      <c r="AA11" s="10">
        <v>491.71349426197065</v>
      </c>
      <c r="AB11" s="76">
        <v>726.5998457979954</v>
      </c>
      <c r="AC11" s="84">
        <v>753.9370078740158</v>
      </c>
      <c r="AD11" s="116">
        <f t="shared" si="2"/>
        <v>0</v>
      </c>
      <c r="AE11" s="68">
        <f t="shared" si="3"/>
        <v>0</v>
      </c>
      <c r="AF11" s="68">
        <f t="shared" si="4"/>
        <v>0</v>
      </c>
      <c r="AG11" s="68">
        <f t="shared" si="5"/>
        <v>0</v>
      </c>
      <c r="AH11" s="68">
        <f t="shared" si="6"/>
        <v>0</v>
      </c>
      <c r="AI11" s="68">
        <f t="shared" si="7"/>
        <v>0</v>
      </c>
      <c r="AJ11" s="68">
        <f t="shared" si="8"/>
        <v>0</v>
      </c>
      <c r="AK11" s="68">
        <f t="shared" si="9"/>
        <v>0</v>
      </c>
      <c r="AL11" s="68">
        <f t="shared" si="10"/>
        <v>0</v>
      </c>
    </row>
    <row r="12" spans="1:38" ht="12.75">
      <c r="A12" s="14">
        <v>5</v>
      </c>
      <c r="B12" s="100" t="s">
        <v>208</v>
      </c>
      <c r="C12" s="7" t="s">
        <v>10</v>
      </c>
      <c r="D12" s="7" t="s">
        <v>192</v>
      </c>
      <c r="E12" s="8">
        <v>2002</v>
      </c>
      <c r="F12" s="38">
        <v>1489.3836611689605</v>
      </c>
      <c r="G12" s="38">
        <f t="shared" si="1"/>
        <v>19</v>
      </c>
      <c r="H12" s="38">
        <f t="shared" si="0"/>
        <v>1489.3836611689605</v>
      </c>
      <c r="I12" s="73"/>
      <c r="J12" s="73"/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76">
        <v>256.9319826338639</v>
      </c>
      <c r="S12" s="76">
        <v>32.451678535096555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89">
        <v>600</v>
      </c>
      <c r="AC12" s="84">
        <v>832.6771653543308</v>
      </c>
      <c r="AD12" s="116">
        <f t="shared" si="2"/>
        <v>0</v>
      </c>
      <c r="AE12" s="68">
        <f t="shared" si="3"/>
        <v>0</v>
      </c>
      <c r="AF12" s="68">
        <f t="shared" si="4"/>
        <v>0</v>
      </c>
      <c r="AG12" s="68">
        <f t="shared" si="5"/>
        <v>0</v>
      </c>
      <c r="AH12" s="68">
        <f t="shared" si="6"/>
        <v>0</v>
      </c>
      <c r="AI12" s="68">
        <f t="shared" si="7"/>
        <v>0</v>
      </c>
      <c r="AJ12" s="68">
        <f t="shared" si="8"/>
        <v>0</v>
      </c>
      <c r="AK12" s="68">
        <f t="shared" si="9"/>
        <v>0</v>
      </c>
      <c r="AL12" s="68">
        <f t="shared" si="10"/>
        <v>0</v>
      </c>
    </row>
    <row r="13" spans="1:38" ht="12.75">
      <c r="A13" s="14">
        <v>6</v>
      </c>
      <c r="B13" s="100" t="s">
        <v>75</v>
      </c>
      <c r="C13" s="7" t="s">
        <v>10</v>
      </c>
      <c r="D13" s="7" t="s">
        <v>76</v>
      </c>
      <c r="E13" s="8">
        <v>1981</v>
      </c>
      <c r="F13" s="38">
        <v>1972.1914152768534</v>
      </c>
      <c r="G13" s="38">
        <f t="shared" si="1"/>
        <v>19</v>
      </c>
      <c r="H13" s="38">
        <f t="shared" si="0"/>
        <v>1972.1914152768534</v>
      </c>
      <c r="I13" s="73"/>
      <c r="J13" s="73"/>
      <c r="K13" s="76">
        <v>602.5034770514603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72">
        <v>0</v>
      </c>
      <c r="S13" s="72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89">
        <v>656.6958122411413</v>
      </c>
      <c r="AC13" s="84">
        <v>712.9921259842517</v>
      </c>
      <c r="AD13" s="116">
        <f t="shared" si="2"/>
        <v>0</v>
      </c>
      <c r="AE13" s="68">
        <f t="shared" si="3"/>
        <v>0</v>
      </c>
      <c r="AF13" s="68">
        <f t="shared" si="4"/>
        <v>0</v>
      </c>
      <c r="AG13" s="68">
        <f t="shared" si="5"/>
        <v>0</v>
      </c>
      <c r="AH13" s="68">
        <f t="shared" si="6"/>
        <v>0</v>
      </c>
      <c r="AI13" s="68">
        <f t="shared" si="7"/>
        <v>0</v>
      </c>
      <c r="AJ13" s="68">
        <f t="shared" si="8"/>
        <v>0</v>
      </c>
      <c r="AK13" s="68">
        <f t="shared" si="9"/>
        <v>0</v>
      </c>
      <c r="AL13" s="68">
        <f t="shared" si="10"/>
        <v>0</v>
      </c>
    </row>
    <row r="14" spans="1:38" ht="12.75">
      <c r="A14" s="14">
        <v>7</v>
      </c>
      <c r="B14" s="100" t="s">
        <v>132</v>
      </c>
      <c r="C14" s="7" t="s">
        <v>10</v>
      </c>
      <c r="D14" s="7" t="s">
        <v>133</v>
      </c>
      <c r="E14" s="8">
        <v>1990</v>
      </c>
      <c r="F14" s="38">
        <v>7148.698536901811</v>
      </c>
      <c r="G14" s="38">
        <f t="shared" si="1"/>
        <v>19</v>
      </c>
      <c r="H14" s="38">
        <f t="shared" si="0"/>
        <v>6689.406501503581</v>
      </c>
      <c r="I14" s="73"/>
      <c r="J14" s="73"/>
      <c r="K14" s="69">
        <v>0</v>
      </c>
      <c r="L14" s="76">
        <v>717.0409511228532</v>
      </c>
      <c r="M14" s="76">
        <v>459.29203539822987</v>
      </c>
      <c r="N14" s="76">
        <v>589.5035460992908</v>
      </c>
      <c r="O14" s="72">
        <v>0</v>
      </c>
      <c r="P14" s="72">
        <v>0</v>
      </c>
      <c r="Q14" s="72">
        <v>0</v>
      </c>
      <c r="R14" s="76">
        <v>526.4900662251655</v>
      </c>
      <c r="S14" s="76">
        <v>554.0375203915174</v>
      </c>
      <c r="T14" s="76">
        <v>706.1094554321321</v>
      </c>
      <c r="U14" s="76">
        <v>620.3770848440898</v>
      </c>
      <c r="V14" s="76">
        <v>607.9820317899101</v>
      </c>
      <c r="W14" s="76">
        <v>539.4369009584664</v>
      </c>
      <c r="X14" s="71">
        <v>0</v>
      </c>
      <c r="Y14" s="71">
        <v>0</v>
      </c>
      <c r="Z14" s="71">
        <v>0</v>
      </c>
      <c r="AA14" s="10">
        <v>462.4225526641886</v>
      </c>
      <c r="AB14" s="94">
        <v>653.0142659917167</v>
      </c>
      <c r="AC14" s="84">
        <v>712.9921259842517</v>
      </c>
      <c r="AD14" s="116">
        <f t="shared" si="2"/>
        <v>459.29203539822987</v>
      </c>
      <c r="AE14" s="68">
        <f t="shared" si="3"/>
        <v>0</v>
      </c>
      <c r="AF14" s="68">
        <f t="shared" si="4"/>
        <v>0</v>
      </c>
      <c r="AG14" s="68">
        <f t="shared" si="5"/>
        <v>0</v>
      </c>
      <c r="AH14" s="68">
        <f t="shared" si="6"/>
        <v>0</v>
      </c>
      <c r="AI14" s="68">
        <f t="shared" si="7"/>
        <v>0</v>
      </c>
      <c r="AJ14" s="68">
        <f t="shared" si="8"/>
        <v>0</v>
      </c>
      <c r="AK14" s="68">
        <f t="shared" si="9"/>
        <v>0</v>
      </c>
      <c r="AL14" s="68">
        <f t="shared" si="10"/>
        <v>459.29203539822987</v>
      </c>
    </row>
    <row r="15" spans="1:38" ht="12.75">
      <c r="A15" s="14">
        <v>8</v>
      </c>
      <c r="B15" s="100" t="s">
        <v>221</v>
      </c>
      <c r="C15" s="7" t="s">
        <v>10</v>
      </c>
      <c r="D15" s="7" t="s">
        <v>69</v>
      </c>
      <c r="E15" s="8">
        <v>1998</v>
      </c>
      <c r="F15" s="38">
        <v>2862.601081607298</v>
      </c>
      <c r="G15" s="38">
        <f t="shared" si="1"/>
        <v>19</v>
      </c>
      <c r="H15" s="38">
        <f t="shared" si="0"/>
        <v>2862.601081607298</v>
      </c>
      <c r="I15" s="73"/>
      <c r="J15" s="73"/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76">
        <v>647.0198675496687</v>
      </c>
      <c r="S15" s="76">
        <v>770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10">
        <v>669.5451040863531</v>
      </c>
      <c r="AC15" s="84">
        <v>1011.8110236220472</v>
      </c>
      <c r="AD15" s="116">
        <f t="shared" si="2"/>
        <v>0</v>
      </c>
      <c r="AE15" s="68">
        <f t="shared" si="3"/>
        <v>0</v>
      </c>
      <c r="AF15" s="68">
        <f t="shared" si="4"/>
        <v>0</v>
      </c>
      <c r="AG15" s="68">
        <f t="shared" si="5"/>
        <v>0</v>
      </c>
      <c r="AH15" s="68">
        <f t="shared" si="6"/>
        <v>0</v>
      </c>
      <c r="AI15" s="68">
        <f t="shared" si="7"/>
        <v>0</v>
      </c>
      <c r="AJ15" s="68">
        <f t="shared" si="8"/>
        <v>0</v>
      </c>
      <c r="AK15" s="68">
        <f t="shared" si="9"/>
        <v>0</v>
      </c>
      <c r="AL15" s="68">
        <f t="shared" si="10"/>
        <v>0</v>
      </c>
    </row>
    <row r="16" spans="1:38" ht="12.75">
      <c r="A16" s="14">
        <v>9</v>
      </c>
      <c r="B16" s="100" t="s">
        <v>251</v>
      </c>
      <c r="C16" t="s">
        <v>10</v>
      </c>
      <c r="D16" t="s">
        <v>43</v>
      </c>
      <c r="E16" s="8">
        <v>1982</v>
      </c>
      <c r="F16" s="38">
        <v>4555.933738429627</v>
      </c>
      <c r="G16" s="38">
        <f t="shared" si="1"/>
        <v>19</v>
      </c>
      <c r="H16" s="38">
        <f t="shared" si="0"/>
        <v>4555.933738429627</v>
      </c>
      <c r="I16" s="73"/>
      <c r="J16" s="73"/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6">
        <v>700.662251655629</v>
      </c>
      <c r="S16" s="76">
        <v>743.8009787928221</v>
      </c>
      <c r="T16" s="70">
        <v>0</v>
      </c>
      <c r="U16" s="76">
        <v>586.9832173557099</v>
      </c>
      <c r="V16" s="76">
        <v>614.6762589928056</v>
      </c>
      <c r="W16" s="76">
        <v>657.6175040518639</v>
      </c>
      <c r="X16" s="71">
        <v>0</v>
      </c>
      <c r="Y16" s="69">
        <v>0</v>
      </c>
      <c r="Z16" s="69">
        <v>0</v>
      </c>
      <c r="AA16" s="69">
        <v>0</v>
      </c>
      <c r="AB16" s="93">
        <v>601.0124252185916</v>
      </c>
      <c r="AC16" s="84">
        <v>651.1811023622047</v>
      </c>
      <c r="AD16" s="116">
        <f t="shared" si="2"/>
        <v>0</v>
      </c>
      <c r="AE16" s="68">
        <f t="shared" si="3"/>
        <v>0</v>
      </c>
      <c r="AF16" s="68">
        <f t="shared" si="4"/>
        <v>0</v>
      </c>
      <c r="AG16" s="68">
        <f t="shared" si="5"/>
        <v>0</v>
      </c>
      <c r="AH16" s="68">
        <f t="shared" si="6"/>
        <v>0</v>
      </c>
      <c r="AI16" s="68">
        <f t="shared" si="7"/>
        <v>0</v>
      </c>
      <c r="AJ16" s="68">
        <f t="shared" si="8"/>
        <v>0</v>
      </c>
      <c r="AK16" s="68">
        <f t="shared" si="9"/>
        <v>0</v>
      </c>
      <c r="AL16" s="68">
        <f t="shared" si="10"/>
        <v>0</v>
      </c>
    </row>
    <row r="17" spans="1:38" ht="12.75">
      <c r="A17" s="14">
        <v>10</v>
      </c>
      <c r="B17" s="100" t="s">
        <v>70</v>
      </c>
      <c r="C17" s="7" t="s">
        <v>10</v>
      </c>
      <c r="D17" s="7" t="s">
        <v>67</v>
      </c>
      <c r="E17" s="8">
        <v>2000</v>
      </c>
      <c r="F17" s="38">
        <v>7028.609416002572</v>
      </c>
      <c r="G17" s="38">
        <f t="shared" si="1"/>
        <v>19</v>
      </c>
      <c r="H17" s="38">
        <f t="shared" si="0"/>
        <v>5528.211736786874</v>
      </c>
      <c r="I17" s="73"/>
      <c r="J17" s="73"/>
      <c r="K17" s="76">
        <v>281.07416879795403</v>
      </c>
      <c r="L17" s="76">
        <v>192.21556886227552</v>
      </c>
      <c r="M17" s="76">
        <v>245.94114662607802</v>
      </c>
      <c r="N17" s="76">
        <v>456.9415908423833</v>
      </c>
      <c r="O17" s="76">
        <v>413.01369863013707</v>
      </c>
      <c r="P17" s="76">
        <v>215.95800524934384</v>
      </c>
      <c r="Q17" s="76">
        <v>597.0484024043024</v>
      </c>
      <c r="R17" s="76">
        <v>686.0847628657922</v>
      </c>
      <c r="S17" s="76">
        <v>491.96792515870357</v>
      </c>
      <c r="T17" s="76">
        <v>235.3020861555134</v>
      </c>
      <c r="U17" s="76">
        <v>408.26686004350984</v>
      </c>
      <c r="V17" s="76">
        <v>329.90670352453344</v>
      </c>
      <c r="W17" s="76">
        <v>406.4496805111821</v>
      </c>
      <c r="X17" s="70">
        <v>0</v>
      </c>
      <c r="Y17" s="76">
        <v>372.16808769792954</v>
      </c>
      <c r="Z17" s="47">
        <v>332.3622047244095</v>
      </c>
      <c r="AA17" s="69">
        <v>0</v>
      </c>
      <c r="AB17" s="36">
        <v>700</v>
      </c>
      <c r="AC17" s="84">
        <v>1004.3307086614175</v>
      </c>
      <c r="AD17" s="116">
        <f t="shared" si="2"/>
        <v>1500.3976792156982</v>
      </c>
      <c r="AE17" s="68">
        <f t="shared" si="3"/>
        <v>0</v>
      </c>
      <c r="AF17" s="68">
        <f t="shared" si="4"/>
        <v>0</v>
      </c>
      <c r="AG17" s="68">
        <f t="shared" si="5"/>
        <v>192.21556886227552</v>
      </c>
      <c r="AH17" s="68">
        <f t="shared" si="6"/>
        <v>215.95800524934384</v>
      </c>
      <c r="AI17" s="68">
        <f t="shared" si="7"/>
        <v>235.3020861555134</v>
      </c>
      <c r="AJ17" s="68">
        <f t="shared" si="8"/>
        <v>245.94114662607802</v>
      </c>
      <c r="AK17" s="68">
        <f t="shared" si="9"/>
        <v>281.07416879795403</v>
      </c>
      <c r="AL17" s="68">
        <f t="shared" si="10"/>
        <v>329.90670352453344</v>
      </c>
    </row>
    <row r="18" spans="1:38" ht="12.75">
      <c r="A18" s="14">
        <v>11</v>
      </c>
      <c r="B18" s="100" t="s">
        <v>78</v>
      </c>
      <c r="C18" s="7" t="s">
        <v>10</v>
      </c>
      <c r="D18" s="7" t="s">
        <v>67</v>
      </c>
      <c r="E18" s="8">
        <v>1971</v>
      </c>
      <c r="F18" s="38">
        <v>12706.196222325974</v>
      </c>
      <c r="G18" s="38">
        <f t="shared" si="1"/>
        <v>19</v>
      </c>
      <c r="H18" s="38">
        <f t="shared" si="0"/>
        <v>8948.975573997413</v>
      </c>
      <c r="I18" s="73"/>
      <c r="J18" s="73"/>
      <c r="K18" s="76">
        <v>810.2920723226703</v>
      </c>
      <c r="L18" s="76">
        <v>622.4570673712024</v>
      </c>
      <c r="M18" s="76">
        <v>800</v>
      </c>
      <c r="N18" s="76">
        <v>800</v>
      </c>
      <c r="O18" s="76">
        <v>762.8239499553171</v>
      </c>
      <c r="P18" s="76">
        <v>839.9040767386093</v>
      </c>
      <c r="Q18" s="76">
        <v>855.4798761609909</v>
      </c>
      <c r="R18" s="72">
        <v>0</v>
      </c>
      <c r="S18" s="72">
        <v>0</v>
      </c>
      <c r="T18" s="76">
        <v>797.9554581964221</v>
      </c>
      <c r="U18" s="76">
        <v>781.3856209150326</v>
      </c>
      <c r="V18" s="76">
        <v>800</v>
      </c>
      <c r="W18" s="76">
        <v>792.5985518905871</v>
      </c>
      <c r="X18" s="70">
        <v>0</v>
      </c>
      <c r="Y18" s="76">
        <v>825.8466722830666</v>
      </c>
      <c r="Z18" s="47">
        <v>819.5183624322699</v>
      </c>
      <c r="AA18" s="10">
        <v>819.9287692916503</v>
      </c>
      <c r="AB18" s="93">
        <v>800</v>
      </c>
      <c r="AC18" s="84">
        <v>1014.1732283464567</v>
      </c>
      <c r="AD18" s="116">
        <f t="shared" si="2"/>
        <v>3757.2206483285613</v>
      </c>
      <c r="AE18" s="68">
        <f t="shared" si="3"/>
        <v>0</v>
      </c>
      <c r="AF18" s="68">
        <f t="shared" si="4"/>
        <v>0</v>
      </c>
      <c r="AG18" s="68">
        <f t="shared" si="5"/>
        <v>0</v>
      </c>
      <c r="AH18" s="68">
        <f t="shared" si="6"/>
        <v>622.4570673712024</v>
      </c>
      <c r="AI18" s="68">
        <f t="shared" si="7"/>
        <v>762.8239499553171</v>
      </c>
      <c r="AJ18" s="68">
        <f t="shared" si="8"/>
        <v>781.3856209150326</v>
      </c>
      <c r="AK18" s="68">
        <f t="shared" si="9"/>
        <v>792.5985518905871</v>
      </c>
      <c r="AL18" s="68">
        <f t="shared" si="10"/>
        <v>797.9554581964221</v>
      </c>
    </row>
    <row r="19" spans="1:38" ht="12.75">
      <c r="A19" s="14">
        <v>12</v>
      </c>
      <c r="B19" s="100" t="s">
        <v>36</v>
      </c>
      <c r="C19" s="7" t="s">
        <v>10</v>
      </c>
      <c r="D19" s="7" t="s">
        <v>37</v>
      </c>
      <c r="E19" s="8">
        <v>1962</v>
      </c>
      <c r="F19" s="38">
        <v>3902.8186049408996</v>
      </c>
      <c r="G19" s="38">
        <f t="shared" si="1"/>
        <v>19</v>
      </c>
      <c r="H19" s="38">
        <f t="shared" si="0"/>
        <v>3892.8186049408996</v>
      </c>
      <c r="I19" s="73"/>
      <c r="J19" s="73"/>
      <c r="K19" s="76">
        <v>248.5933503836316</v>
      </c>
      <c r="L19" s="76">
        <v>196.0369881109644</v>
      </c>
      <c r="M19" s="76">
        <v>10</v>
      </c>
      <c r="N19" s="76">
        <v>0</v>
      </c>
      <c r="O19" s="76">
        <v>388.9186773905271</v>
      </c>
      <c r="P19" s="76">
        <v>251.42857142857153</v>
      </c>
      <c r="Q19" s="76">
        <v>352</v>
      </c>
      <c r="R19" s="76">
        <v>0</v>
      </c>
      <c r="S19" s="76">
        <v>243.44995931651744</v>
      </c>
      <c r="T19" s="76">
        <v>353.9978094194961</v>
      </c>
      <c r="U19" s="71">
        <v>0</v>
      </c>
      <c r="V19" s="76">
        <v>449.89488437280994</v>
      </c>
      <c r="W19" s="76">
        <v>554.1432019308123</v>
      </c>
      <c r="X19" s="70">
        <v>0</v>
      </c>
      <c r="Y19" s="70">
        <v>0</v>
      </c>
      <c r="Z19" s="70">
        <v>0</v>
      </c>
      <c r="AA19" s="69">
        <v>0</v>
      </c>
      <c r="AB19" s="94">
        <v>470.93292212798764</v>
      </c>
      <c r="AC19" s="84">
        <v>540.9448818897638</v>
      </c>
      <c r="AD19" s="116">
        <f t="shared" si="2"/>
        <v>10</v>
      </c>
      <c r="AE19" s="68">
        <f t="shared" si="3"/>
        <v>0</v>
      </c>
      <c r="AF19" s="68">
        <f t="shared" si="4"/>
        <v>0</v>
      </c>
      <c r="AG19" s="68">
        <f t="shared" si="5"/>
        <v>0</v>
      </c>
      <c r="AH19" s="68">
        <f t="shared" si="6"/>
        <v>0</v>
      </c>
      <c r="AI19" s="68">
        <f t="shared" si="7"/>
        <v>0</v>
      </c>
      <c r="AJ19" s="68">
        <f t="shared" si="8"/>
        <v>0</v>
      </c>
      <c r="AK19" s="68">
        <f t="shared" si="9"/>
        <v>0</v>
      </c>
      <c r="AL19" s="68">
        <f t="shared" si="10"/>
        <v>10</v>
      </c>
    </row>
    <row r="20" spans="1:38" ht="12.75">
      <c r="A20" s="14">
        <v>13</v>
      </c>
      <c r="B20" s="100" t="s">
        <v>144</v>
      </c>
      <c r="C20" s="7" t="s">
        <v>10</v>
      </c>
      <c r="D20" s="7" t="s">
        <v>145</v>
      </c>
      <c r="E20" s="8">
        <v>1967</v>
      </c>
      <c r="F20" s="38">
        <v>4029.2336841714373</v>
      </c>
      <c r="G20" s="38">
        <f t="shared" si="1"/>
        <v>19</v>
      </c>
      <c r="H20" s="38">
        <f t="shared" si="0"/>
        <v>4029.2336841714373</v>
      </c>
      <c r="I20" s="73"/>
      <c r="J20" s="73"/>
      <c r="K20" s="69">
        <v>0</v>
      </c>
      <c r="L20" s="76">
        <v>71.33421400264214</v>
      </c>
      <c r="M20" s="76">
        <v>280.8849557522123</v>
      </c>
      <c r="N20" s="76">
        <v>328.8888888888888</v>
      </c>
      <c r="O20" s="72">
        <v>0</v>
      </c>
      <c r="P20" s="72">
        <v>0</v>
      </c>
      <c r="Q20" s="72">
        <v>0</v>
      </c>
      <c r="R20" s="76">
        <v>311.062271062271</v>
      </c>
      <c r="S20" s="76">
        <v>460.0488201790072</v>
      </c>
      <c r="T20" s="76">
        <v>388.4629426798103</v>
      </c>
      <c r="U20" s="76">
        <v>316.235294117647</v>
      </c>
      <c r="V20" s="76">
        <v>432.5157673440783</v>
      </c>
      <c r="W20" s="76">
        <v>534.5132743362832</v>
      </c>
      <c r="X20" s="70">
        <v>0</v>
      </c>
      <c r="Y20" s="70">
        <v>0</v>
      </c>
      <c r="Z20" s="70">
        <v>0</v>
      </c>
      <c r="AA20" s="69">
        <v>0</v>
      </c>
      <c r="AB20" s="94">
        <v>358.0570547417118</v>
      </c>
      <c r="AC20" s="84">
        <v>737.4015748031495</v>
      </c>
      <c r="AD20" s="116">
        <f t="shared" si="2"/>
        <v>0</v>
      </c>
      <c r="AE20" s="68">
        <f t="shared" si="3"/>
        <v>0</v>
      </c>
      <c r="AF20" s="68">
        <f t="shared" si="4"/>
        <v>0</v>
      </c>
      <c r="AG20" s="68">
        <f t="shared" si="5"/>
        <v>0</v>
      </c>
      <c r="AH20" s="68">
        <f t="shared" si="6"/>
        <v>0</v>
      </c>
      <c r="AI20" s="68">
        <f t="shared" si="7"/>
        <v>0</v>
      </c>
      <c r="AJ20" s="68">
        <f t="shared" si="8"/>
        <v>0</v>
      </c>
      <c r="AK20" s="68">
        <f t="shared" si="9"/>
        <v>0</v>
      </c>
      <c r="AL20" s="68">
        <f t="shared" si="10"/>
        <v>0</v>
      </c>
    </row>
    <row r="21" spans="1:38" ht="12.75">
      <c r="A21" s="14">
        <v>14</v>
      </c>
      <c r="B21" s="100" t="s">
        <v>46</v>
      </c>
      <c r="C21" s="7" t="s">
        <v>10</v>
      </c>
      <c r="D21" s="7" t="s">
        <v>47</v>
      </c>
      <c r="E21" s="8">
        <v>1968</v>
      </c>
      <c r="F21" s="38">
        <v>8178.823783165131</v>
      </c>
      <c r="G21" s="38">
        <f t="shared" si="1"/>
        <v>19</v>
      </c>
      <c r="H21" s="38">
        <f t="shared" si="0"/>
        <v>8178.823783165131</v>
      </c>
      <c r="I21" s="73"/>
      <c r="J21" s="73"/>
      <c r="K21" s="76">
        <v>0</v>
      </c>
      <c r="L21" s="76">
        <v>800</v>
      </c>
      <c r="M21" s="76">
        <v>454.15929203539827</v>
      </c>
      <c r="N21" s="76">
        <v>793.758865248227</v>
      </c>
      <c r="O21" s="72">
        <v>0</v>
      </c>
      <c r="P21" s="72">
        <v>0</v>
      </c>
      <c r="Q21" s="72">
        <v>0</v>
      </c>
      <c r="R21" s="76">
        <v>741.7218543046358</v>
      </c>
      <c r="S21" s="76">
        <v>838.1122864117169</v>
      </c>
      <c r="T21" s="76">
        <v>0</v>
      </c>
      <c r="U21" s="76">
        <v>674.718954248366</v>
      </c>
      <c r="V21" s="76">
        <v>743.0974071478627</v>
      </c>
      <c r="W21" s="76">
        <v>800</v>
      </c>
      <c r="X21" s="71">
        <v>0</v>
      </c>
      <c r="Y21" s="71">
        <v>0</v>
      </c>
      <c r="Z21" s="71">
        <v>0</v>
      </c>
      <c r="AA21" s="10">
        <v>759.1610605461021</v>
      </c>
      <c r="AB21" s="94">
        <v>774.0940632228219</v>
      </c>
      <c r="AC21" s="84">
        <v>1040.5511811023623</v>
      </c>
      <c r="AD21" s="116">
        <f t="shared" si="2"/>
        <v>0</v>
      </c>
      <c r="AE21" s="68">
        <f t="shared" si="3"/>
        <v>0</v>
      </c>
      <c r="AF21" s="68">
        <f t="shared" si="4"/>
        <v>0</v>
      </c>
      <c r="AG21" s="68">
        <f t="shared" si="5"/>
        <v>0</v>
      </c>
      <c r="AH21" s="68">
        <f t="shared" si="6"/>
        <v>0</v>
      </c>
      <c r="AI21" s="68">
        <f t="shared" si="7"/>
        <v>0</v>
      </c>
      <c r="AJ21" s="68">
        <f t="shared" si="8"/>
        <v>0</v>
      </c>
      <c r="AK21" s="68">
        <f t="shared" si="9"/>
        <v>0</v>
      </c>
      <c r="AL21" s="68">
        <f t="shared" si="10"/>
        <v>0</v>
      </c>
    </row>
    <row r="22" spans="1:38" ht="12.75">
      <c r="A22" s="14">
        <v>15</v>
      </c>
      <c r="B22" s="100" t="s">
        <v>28</v>
      </c>
      <c r="C22" s="7" t="s">
        <v>10</v>
      </c>
      <c r="D22" s="7" t="s">
        <v>29</v>
      </c>
      <c r="E22" s="8">
        <v>1997</v>
      </c>
      <c r="F22" s="38">
        <v>12387.266356438464</v>
      </c>
      <c r="G22" s="38">
        <f t="shared" si="1"/>
        <v>19</v>
      </c>
      <c r="H22" s="38">
        <f t="shared" si="0"/>
        <v>8378.939861070967</v>
      </c>
      <c r="I22" s="73"/>
      <c r="J22" s="73"/>
      <c r="K22" s="76">
        <v>691.8158567774937</v>
      </c>
      <c r="L22" s="76">
        <v>700</v>
      </c>
      <c r="M22" s="76">
        <v>700</v>
      </c>
      <c r="N22" s="76">
        <v>700</v>
      </c>
      <c r="O22" s="76">
        <v>800</v>
      </c>
      <c r="P22" s="76">
        <v>711.1750599520385</v>
      </c>
      <c r="Q22" s="72">
        <v>0</v>
      </c>
      <c r="R22" s="76">
        <v>509.2715231788082</v>
      </c>
      <c r="S22" s="76">
        <v>789.1109298531812</v>
      </c>
      <c r="T22" s="76">
        <v>750</v>
      </c>
      <c r="U22" s="76">
        <v>718.2741116751268</v>
      </c>
      <c r="V22" s="76">
        <v>707.2391154111956</v>
      </c>
      <c r="W22" s="76">
        <v>750</v>
      </c>
      <c r="X22" s="71">
        <v>0</v>
      </c>
      <c r="Y22" s="76">
        <v>735</v>
      </c>
      <c r="Z22" s="47">
        <v>735</v>
      </c>
      <c r="AA22" s="10">
        <v>866.5623836126631</v>
      </c>
      <c r="AB22" s="93">
        <v>759.5990747879723</v>
      </c>
      <c r="AC22" s="84">
        <v>997.6377952755906</v>
      </c>
      <c r="AD22" s="116">
        <f t="shared" si="2"/>
        <v>4008.3264953674975</v>
      </c>
      <c r="AE22" s="68">
        <f t="shared" si="3"/>
        <v>0</v>
      </c>
      <c r="AF22" s="68">
        <f t="shared" si="4"/>
        <v>0</v>
      </c>
      <c r="AG22" s="68">
        <f t="shared" si="5"/>
        <v>509.2715231788082</v>
      </c>
      <c r="AH22" s="68">
        <f t="shared" si="6"/>
        <v>691.8158567774937</v>
      </c>
      <c r="AI22" s="68">
        <f t="shared" si="7"/>
        <v>700</v>
      </c>
      <c r="AJ22" s="68">
        <f t="shared" si="8"/>
        <v>700</v>
      </c>
      <c r="AK22" s="68">
        <f t="shared" si="9"/>
        <v>700</v>
      </c>
      <c r="AL22" s="68">
        <f t="shared" si="10"/>
        <v>707.2391154111956</v>
      </c>
    </row>
    <row r="23" spans="1:38" ht="12.75">
      <c r="A23" s="14">
        <v>16</v>
      </c>
      <c r="B23" s="100" t="s">
        <v>254</v>
      </c>
      <c r="C23" t="s">
        <v>10</v>
      </c>
      <c r="D23" t="s">
        <v>215</v>
      </c>
      <c r="E23" s="8">
        <v>1984</v>
      </c>
      <c r="F23" s="38">
        <v>2833.32650814441</v>
      </c>
      <c r="G23" s="38">
        <f t="shared" si="1"/>
        <v>19</v>
      </c>
      <c r="H23" s="38">
        <f t="shared" si="0"/>
        <v>2833.32650814441</v>
      </c>
      <c r="I23" s="73"/>
      <c r="J23" s="73"/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76">
        <v>349.66887417218527</v>
      </c>
      <c r="S23" s="76">
        <v>598.0016313213704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10">
        <v>559.8822800495665</v>
      </c>
      <c r="AB23" s="93">
        <v>682.4666359871145</v>
      </c>
      <c r="AC23" s="84">
        <v>643.3070866141733</v>
      </c>
      <c r="AD23" s="116">
        <f t="shared" si="2"/>
        <v>0</v>
      </c>
      <c r="AE23" s="68">
        <f t="shared" si="3"/>
        <v>0</v>
      </c>
      <c r="AF23" s="68">
        <f t="shared" si="4"/>
        <v>0</v>
      </c>
      <c r="AG23" s="68">
        <f t="shared" si="5"/>
        <v>0</v>
      </c>
      <c r="AH23" s="68">
        <f t="shared" si="6"/>
        <v>0</v>
      </c>
      <c r="AI23" s="68">
        <f t="shared" si="7"/>
        <v>0</v>
      </c>
      <c r="AJ23" s="68">
        <f t="shared" si="8"/>
        <v>0</v>
      </c>
      <c r="AK23" s="68">
        <f t="shared" si="9"/>
        <v>0</v>
      </c>
      <c r="AL23" s="68">
        <f t="shared" si="10"/>
        <v>0</v>
      </c>
    </row>
    <row r="24" spans="1:38" ht="12.75">
      <c r="A24" s="14">
        <v>17</v>
      </c>
      <c r="B24" s="100" t="s">
        <v>38</v>
      </c>
      <c r="C24" s="7" t="s">
        <v>10</v>
      </c>
      <c r="D24" s="7" t="s">
        <v>39</v>
      </c>
      <c r="E24" s="8">
        <v>1962</v>
      </c>
      <c r="F24" s="38">
        <v>4737.815928518445</v>
      </c>
      <c r="G24" s="38">
        <f t="shared" si="1"/>
        <v>19</v>
      </c>
      <c r="H24" s="38">
        <f t="shared" si="0"/>
        <v>4737.815928518445</v>
      </c>
      <c r="I24" s="73"/>
      <c r="J24" s="73"/>
      <c r="K24" s="76">
        <v>403.3248081841432</v>
      </c>
      <c r="L24" s="76">
        <v>0</v>
      </c>
      <c r="M24" s="76">
        <v>604.0707964601769</v>
      </c>
      <c r="N24" s="76">
        <v>455.03546099290764</v>
      </c>
      <c r="O24" s="69">
        <v>0</v>
      </c>
      <c r="P24" s="69">
        <v>0</v>
      </c>
      <c r="Q24" s="69">
        <v>0</v>
      </c>
      <c r="R24" s="76">
        <v>244.9816849816849</v>
      </c>
      <c r="S24" s="76">
        <v>477.9495524816926</v>
      </c>
      <c r="T24" s="70">
        <v>0</v>
      </c>
      <c r="U24" s="70">
        <v>0</v>
      </c>
      <c r="V24" s="70">
        <v>0</v>
      </c>
      <c r="W24" s="70">
        <v>0</v>
      </c>
      <c r="X24" s="76">
        <v>623.0115830115828</v>
      </c>
      <c r="Y24" s="69">
        <v>0</v>
      </c>
      <c r="Z24" s="69">
        <v>0</v>
      </c>
      <c r="AA24" s="10">
        <v>638.1480015829048</v>
      </c>
      <c r="AB24" s="36">
        <v>679.7224363916731</v>
      </c>
      <c r="AC24" s="84">
        <v>814.5669291338584</v>
      </c>
      <c r="AD24" s="116">
        <f t="shared" si="2"/>
        <v>0</v>
      </c>
      <c r="AE24" s="68">
        <f t="shared" si="3"/>
        <v>0</v>
      </c>
      <c r="AF24" s="68">
        <f t="shared" si="4"/>
        <v>0</v>
      </c>
      <c r="AG24" s="68">
        <f t="shared" si="5"/>
        <v>0</v>
      </c>
      <c r="AH24" s="68">
        <f t="shared" si="6"/>
        <v>0</v>
      </c>
      <c r="AI24" s="68">
        <f t="shared" si="7"/>
        <v>0</v>
      </c>
      <c r="AJ24" s="68">
        <f t="shared" si="8"/>
        <v>0</v>
      </c>
      <c r="AK24" s="68">
        <f t="shared" si="9"/>
        <v>0</v>
      </c>
      <c r="AL24" s="68">
        <f t="shared" si="10"/>
        <v>0</v>
      </c>
    </row>
    <row r="25" spans="1:38" ht="12.75">
      <c r="A25" s="14">
        <v>18</v>
      </c>
      <c r="B25" s="100" t="s">
        <v>149</v>
      </c>
      <c r="C25" s="7" t="s">
        <v>10</v>
      </c>
      <c r="D25" s="7" t="s">
        <v>150</v>
      </c>
      <c r="E25" s="8">
        <v>1949</v>
      </c>
      <c r="F25" s="38">
        <v>6031.10162410024</v>
      </c>
      <c r="G25" s="38">
        <f t="shared" si="1"/>
        <v>19</v>
      </c>
      <c r="H25" s="38">
        <f t="shared" si="0"/>
        <v>5185.525255226146</v>
      </c>
      <c r="I25" s="73"/>
      <c r="J25" s="73"/>
      <c r="K25" s="69">
        <v>0</v>
      </c>
      <c r="L25" s="76">
        <v>137.38441215323647</v>
      </c>
      <c r="M25" s="76">
        <v>235.0442477876106</v>
      </c>
      <c r="N25" s="76">
        <v>251.53664302600464</v>
      </c>
      <c r="O25" s="76">
        <v>0</v>
      </c>
      <c r="P25" s="76">
        <v>593.5958005249344</v>
      </c>
      <c r="Q25" s="76">
        <v>646.9851312875672</v>
      </c>
      <c r="R25" s="76">
        <v>0</v>
      </c>
      <c r="S25" s="76">
        <v>221.6110659072417</v>
      </c>
      <c r="T25" s="76">
        <v>351.66119021540715</v>
      </c>
      <c r="U25" s="76">
        <v>395.08496732026134</v>
      </c>
      <c r="V25" s="76">
        <v>453.81920112123345</v>
      </c>
      <c r="W25" s="76">
        <v>485.27755430410303</v>
      </c>
      <c r="X25" s="76">
        <v>341.15830115830113</v>
      </c>
      <c r="Y25" s="76">
        <v>568.9637742207246</v>
      </c>
      <c r="Z25" s="76">
        <v>506.9837447320891</v>
      </c>
      <c r="AA25" s="69">
        <v>0</v>
      </c>
      <c r="AB25" s="93">
        <v>418.19583654587495</v>
      </c>
      <c r="AC25" s="84">
        <v>589.3700787401575</v>
      </c>
      <c r="AD25" s="116">
        <f t="shared" si="2"/>
        <v>845.5763688740934</v>
      </c>
      <c r="AE25" s="68">
        <f t="shared" si="3"/>
        <v>0</v>
      </c>
      <c r="AF25" s="68">
        <f t="shared" si="4"/>
        <v>0</v>
      </c>
      <c r="AG25" s="68">
        <f t="shared" si="5"/>
        <v>0</v>
      </c>
      <c r="AH25" s="68">
        <f t="shared" si="6"/>
        <v>0</v>
      </c>
      <c r="AI25" s="68">
        <f t="shared" si="7"/>
        <v>137.38441215323647</v>
      </c>
      <c r="AJ25" s="68">
        <f t="shared" si="8"/>
        <v>221.6110659072417</v>
      </c>
      <c r="AK25" s="68">
        <f t="shared" si="9"/>
        <v>235.0442477876106</v>
      </c>
      <c r="AL25" s="68">
        <f t="shared" si="10"/>
        <v>251.53664302600464</v>
      </c>
    </row>
    <row r="26" spans="1:38" ht="12.75">
      <c r="A26" s="14">
        <v>19</v>
      </c>
      <c r="B26" s="100" t="s">
        <v>346</v>
      </c>
      <c r="C26" s="7" t="s">
        <v>10</v>
      </c>
      <c r="D26" s="7" t="s">
        <v>53</v>
      </c>
      <c r="E26" s="8">
        <v>1974</v>
      </c>
      <c r="F26" s="51">
        <v>826.4155563689952</v>
      </c>
      <c r="G26" s="38">
        <f t="shared" si="1"/>
        <v>19</v>
      </c>
      <c r="H26" s="38">
        <f t="shared" si="0"/>
        <v>826.4155563689952</v>
      </c>
      <c r="I26" s="37"/>
      <c r="J26" s="37"/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93">
        <v>395.06553585196616</v>
      </c>
      <c r="AC26" s="84">
        <v>598.4251968503935</v>
      </c>
      <c r="AD26" s="116">
        <f t="shared" si="2"/>
        <v>0</v>
      </c>
      <c r="AE26" s="68">
        <f t="shared" si="3"/>
        <v>0</v>
      </c>
      <c r="AF26" s="68">
        <f t="shared" si="4"/>
        <v>0</v>
      </c>
      <c r="AG26" s="68">
        <f t="shared" si="5"/>
        <v>0</v>
      </c>
      <c r="AH26" s="68">
        <f t="shared" si="6"/>
        <v>0</v>
      </c>
      <c r="AI26" s="68">
        <f t="shared" si="7"/>
        <v>0</v>
      </c>
      <c r="AJ26" s="68">
        <f t="shared" si="8"/>
        <v>0</v>
      </c>
      <c r="AK26" s="68">
        <f t="shared" si="9"/>
        <v>0</v>
      </c>
      <c r="AL26" s="68">
        <f t="shared" si="10"/>
        <v>0</v>
      </c>
    </row>
    <row r="27" spans="1:38" ht="12.75">
      <c r="A27" s="14">
        <v>20</v>
      </c>
      <c r="B27" s="100" t="s">
        <v>127</v>
      </c>
      <c r="C27" s="7" t="s">
        <v>10</v>
      </c>
      <c r="D27" s="7" t="s">
        <v>21</v>
      </c>
      <c r="E27" s="8">
        <v>1992</v>
      </c>
      <c r="F27" s="38">
        <v>13237.231027698319</v>
      </c>
      <c r="G27" s="38">
        <f t="shared" si="1"/>
        <v>19</v>
      </c>
      <c r="H27" s="38">
        <f t="shared" si="0"/>
        <v>11291.20503120468</v>
      </c>
      <c r="I27" s="73"/>
      <c r="J27" s="73"/>
      <c r="K27" s="69">
        <v>0</v>
      </c>
      <c r="L27" s="76">
        <v>1000</v>
      </c>
      <c r="M27" s="76">
        <v>1000</v>
      </c>
      <c r="N27" s="76">
        <v>1000</v>
      </c>
      <c r="O27" s="76">
        <v>956.8733153638815</v>
      </c>
      <c r="P27" s="76">
        <v>1058.4970377299658</v>
      </c>
      <c r="Q27" s="72">
        <v>0</v>
      </c>
      <c r="R27" s="76">
        <v>1100</v>
      </c>
      <c r="S27" s="76">
        <v>1032.7079934747146</v>
      </c>
      <c r="T27" s="71">
        <v>0</v>
      </c>
      <c r="U27" s="76">
        <v>989.1526811297584</v>
      </c>
      <c r="V27" s="76">
        <v>1000</v>
      </c>
      <c r="W27" s="76">
        <v>1000</v>
      </c>
      <c r="X27" s="71">
        <v>0</v>
      </c>
      <c r="Y27" s="71">
        <v>0</v>
      </c>
      <c r="Z27" s="71">
        <v>0</v>
      </c>
      <c r="AA27" s="10">
        <v>1100</v>
      </c>
      <c r="AB27" s="94">
        <v>1000</v>
      </c>
      <c r="AC27" s="84">
        <v>1000</v>
      </c>
      <c r="AD27" s="116">
        <f t="shared" si="2"/>
        <v>1946.02599649364</v>
      </c>
      <c r="AE27" s="68">
        <f t="shared" si="3"/>
        <v>0</v>
      </c>
      <c r="AF27" s="68">
        <f t="shared" si="4"/>
        <v>0</v>
      </c>
      <c r="AG27" s="68">
        <f t="shared" si="5"/>
        <v>0</v>
      </c>
      <c r="AH27" s="68">
        <f t="shared" si="6"/>
        <v>0</v>
      </c>
      <c r="AI27" s="68">
        <f t="shared" si="7"/>
        <v>0</v>
      </c>
      <c r="AJ27" s="68">
        <f t="shared" si="8"/>
        <v>0</v>
      </c>
      <c r="AK27" s="68">
        <f t="shared" si="9"/>
        <v>956.8733153638815</v>
      </c>
      <c r="AL27" s="68">
        <f t="shared" si="10"/>
        <v>989.1526811297584</v>
      </c>
    </row>
    <row r="28" spans="1:38" ht="12.75">
      <c r="A28" s="14">
        <v>21</v>
      </c>
      <c r="B28" s="100" t="s">
        <v>50</v>
      </c>
      <c r="C28" s="7" t="s">
        <v>10</v>
      </c>
      <c r="D28" s="7" t="s">
        <v>51</v>
      </c>
      <c r="E28" s="8">
        <v>1970</v>
      </c>
      <c r="F28" s="38">
        <v>10563.756863851504</v>
      </c>
      <c r="G28" s="38">
        <f t="shared" si="1"/>
        <v>19</v>
      </c>
      <c r="H28" s="38">
        <f t="shared" si="0"/>
        <v>8781.739121365075</v>
      </c>
      <c r="I28" s="73"/>
      <c r="J28" s="73"/>
      <c r="K28" s="76">
        <v>910.4311543810848</v>
      </c>
      <c r="L28" s="76">
        <v>546.1254612546124</v>
      </c>
      <c r="M28" s="76">
        <v>850.638216803201</v>
      </c>
      <c r="N28" s="76">
        <v>898.0450383568426</v>
      </c>
      <c r="O28" s="72">
        <v>0</v>
      </c>
      <c r="P28" s="72">
        <v>0</v>
      </c>
      <c r="Q28" s="72">
        <v>0</v>
      </c>
      <c r="R28" s="76">
        <v>766.2251655629138</v>
      </c>
      <c r="S28" s="76">
        <v>703.4257748776511</v>
      </c>
      <c r="T28" s="71">
        <v>0</v>
      </c>
      <c r="U28" s="76">
        <v>560.3765861645518</v>
      </c>
      <c r="V28" s="76">
        <v>720</v>
      </c>
      <c r="W28" s="76">
        <v>706.2398703403566</v>
      </c>
      <c r="X28" s="70">
        <v>0</v>
      </c>
      <c r="Y28" s="76">
        <v>877.1045328399629</v>
      </c>
      <c r="Z28" s="47">
        <v>675.5156950672647</v>
      </c>
      <c r="AA28" s="10">
        <v>867.7664188351923</v>
      </c>
      <c r="AB28" s="93">
        <v>675.5637367694432</v>
      </c>
      <c r="AC28" s="84">
        <v>806.2992125984251</v>
      </c>
      <c r="AD28" s="116">
        <f t="shared" si="2"/>
        <v>1782.017742486429</v>
      </c>
      <c r="AE28" s="68">
        <f t="shared" si="3"/>
        <v>0</v>
      </c>
      <c r="AF28" s="68">
        <f t="shared" si="4"/>
        <v>0</v>
      </c>
      <c r="AG28" s="68">
        <f t="shared" si="5"/>
        <v>0</v>
      </c>
      <c r="AH28" s="68">
        <f t="shared" si="6"/>
        <v>0</v>
      </c>
      <c r="AI28" s="68">
        <f t="shared" si="7"/>
        <v>0</v>
      </c>
      <c r="AJ28" s="68">
        <f t="shared" si="8"/>
        <v>546.1254612546124</v>
      </c>
      <c r="AK28" s="68">
        <f t="shared" si="9"/>
        <v>560.3765861645518</v>
      </c>
      <c r="AL28" s="68">
        <f t="shared" si="10"/>
        <v>675.5156950672647</v>
      </c>
    </row>
    <row r="29" spans="1:38" ht="12.75">
      <c r="A29" s="14">
        <v>22</v>
      </c>
      <c r="B29" s="100" t="s">
        <v>52</v>
      </c>
      <c r="C29" s="7" t="s">
        <v>10</v>
      </c>
      <c r="D29" s="7" t="s">
        <v>53</v>
      </c>
      <c r="E29" s="8">
        <v>1981</v>
      </c>
      <c r="F29" s="38">
        <v>6532.861912166317</v>
      </c>
      <c r="G29" s="38">
        <f t="shared" si="1"/>
        <v>19</v>
      </c>
      <c r="H29" s="38">
        <f t="shared" si="0"/>
        <v>5931.483455553733</v>
      </c>
      <c r="I29" s="73"/>
      <c r="J29" s="73"/>
      <c r="K29" s="76">
        <v>750.2086230876217</v>
      </c>
      <c r="L29" s="76">
        <v>576.4861294583884</v>
      </c>
      <c r="M29" s="76">
        <v>622.6548672566372</v>
      </c>
      <c r="N29" s="76">
        <v>630.354609929078</v>
      </c>
      <c r="O29" s="76">
        <v>341.4195867026057</v>
      </c>
      <c r="P29" s="76">
        <v>12.347988774555853</v>
      </c>
      <c r="Q29" s="76">
        <v>372.40252159701146</v>
      </c>
      <c r="R29" s="76">
        <v>0</v>
      </c>
      <c r="S29" s="76">
        <v>488.09135399673744</v>
      </c>
      <c r="T29" s="71">
        <v>0</v>
      </c>
      <c r="U29" s="71">
        <v>0</v>
      </c>
      <c r="V29" s="76">
        <v>650.9352517985611</v>
      </c>
      <c r="W29" s="76">
        <v>0</v>
      </c>
      <c r="X29" s="76">
        <v>237.610881135423</v>
      </c>
      <c r="Y29" s="76">
        <v>10</v>
      </c>
      <c r="Z29" s="76">
        <v>654.4843049327355</v>
      </c>
      <c r="AA29" s="10">
        <v>505.70012391573744</v>
      </c>
      <c r="AB29" s="93">
        <v>680.1656695812242</v>
      </c>
      <c r="AC29" s="84">
        <v>506.29921259842536</v>
      </c>
      <c r="AD29" s="116">
        <f t="shared" si="2"/>
        <v>601.3784566125846</v>
      </c>
      <c r="AE29" s="68">
        <f t="shared" si="3"/>
        <v>0</v>
      </c>
      <c r="AF29" s="68">
        <f t="shared" si="4"/>
        <v>0</v>
      </c>
      <c r="AG29" s="68">
        <f t="shared" si="5"/>
        <v>0</v>
      </c>
      <c r="AH29" s="68">
        <f t="shared" si="6"/>
        <v>0</v>
      </c>
      <c r="AI29" s="68">
        <f t="shared" si="7"/>
        <v>10</v>
      </c>
      <c r="AJ29" s="68">
        <f t="shared" si="8"/>
        <v>12.347988774555853</v>
      </c>
      <c r="AK29" s="68">
        <f t="shared" si="9"/>
        <v>237.610881135423</v>
      </c>
      <c r="AL29" s="68">
        <f t="shared" si="10"/>
        <v>341.4195867026057</v>
      </c>
    </row>
    <row r="30" spans="1:38" ht="12.75">
      <c r="A30" s="14">
        <v>23</v>
      </c>
      <c r="B30" s="100" t="s">
        <v>218</v>
      </c>
      <c r="C30" s="7" t="s">
        <v>10</v>
      </c>
      <c r="D30" s="7" t="s">
        <v>192</v>
      </c>
      <c r="F30" s="38">
        <v>1755.1892042356146</v>
      </c>
      <c r="G30" s="38">
        <f t="shared" si="1"/>
        <v>19</v>
      </c>
      <c r="H30" s="38">
        <f t="shared" si="0"/>
        <v>1755.1892042356146</v>
      </c>
      <c r="I30" s="73"/>
      <c r="J30" s="73"/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76">
        <v>0</v>
      </c>
      <c r="S30" s="76">
        <v>10</v>
      </c>
      <c r="T30" s="76">
        <v>10</v>
      </c>
      <c r="U30" s="76">
        <v>0</v>
      </c>
      <c r="V30" s="76">
        <v>497.8403593642018</v>
      </c>
      <c r="W30" s="76">
        <v>10</v>
      </c>
      <c r="X30" s="69">
        <v>0</v>
      </c>
      <c r="Y30" s="69">
        <v>0</v>
      </c>
      <c r="Z30" s="69">
        <v>0</v>
      </c>
      <c r="AA30" s="69">
        <v>0</v>
      </c>
      <c r="AB30" s="93">
        <v>563.4403209628887</v>
      </c>
      <c r="AC30" s="84">
        <v>1004.3307086614175</v>
      </c>
      <c r="AD30" s="116">
        <f t="shared" si="2"/>
        <v>0</v>
      </c>
      <c r="AE30" s="68">
        <f t="shared" si="3"/>
        <v>0</v>
      </c>
      <c r="AF30" s="68">
        <f t="shared" si="4"/>
        <v>0</v>
      </c>
      <c r="AG30" s="68">
        <f t="shared" si="5"/>
        <v>0</v>
      </c>
      <c r="AH30" s="68">
        <f t="shared" si="6"/>
        <v>0</v>
      </c>
      <c r="AI30" s="68">
        <f t="shared" si="7"/>
        <v>0</v>
      </c>
      <c r="AJ30" s="68">
        <f t="shared" si="8"/>
        <v>0</v>
      </c>
      <c r="AK30" s="68">
        <f t="shared" si="9"/>
        <v>0</v>
      </c>
      <c r="AL30" s="68">
        <f t="shared" si="10"/>
        <v>0</v>
      </c>
    </row>
    <row r="31" spans="1:38" ht="12.75">
      <c r="A31" s="14">
        <v>24</v>
      </c>
      <c r="B31" s="100" t="s">
        <v>128</v>
      </c>
      <c r="C31" s="7" t="s">
        <v>10</v>
      </c>
      <c r="D31" s="7" t="s">
        <v>67</v>
      </c>
      <c r="E31" s="8">
        <v>1986</v>
      </c>
      <c r="F31" s="38">
        <v>9098.9905781739</v>
      </c>
      <c r="G31" s="38">
        <f t="shared" si="1"/>
        <v>19</v>
      </c>
      <c r="H31" s="38">
        <f t="shared" si="0"/>
        <v>9098.9905781739</v>
      </c>
      <c r="I31" s="73"/>
      <c r="J31" s="73"/>
      <c r="K31" s="69">
        <v>0</v>
      </c>
      <c r="L31" s="76">
        <v>856.8265682656826</v>
      </c>
      <c r="M31" s="76">
        <v>802.4385597256622</v>
      </c>
      <c r="N31" s="76">
        <v>995.7931205147244</v>
      </c>
      <c r="O31" s="76">
        <v>849.0566037735849</v>
      </c>
      <c r="P31" s="76">
        <v>891.7991892734644</v>
      </c>
      <c r="Q31" s="76">
        <v>1013.1916880691105</v>
      </c>
      <c r="R31" s="71">
        <v>0</v>
      </c>
      <c r="S31" s="71">
        <v>0</v>
      </c>
      <c r="T31" s="71">
        <v>0</v>
      </c>
      <c r="U31" s="76">
        <v>1000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10">
        <v>933.1939281288726</v>
      </c>
      <c r="AB31" s="94">
        <v>861.0216290842154</v>
      </c>
      <c r="AC31" s="84">
        <v>895.6692913385826</v>
      </c>
      <c r="AD31" s="116">
        <f t="shared" si="2"/>
        <v>0</v>
      </c>
      <c r="AE31" s="68">
        <f t="shared" si="3"/>
        <v>0</v>
      </c>
      <c r="AF31" s="68">
        <f t="shared" si="4"/>
        <v>0</v>
      </c>
      <c r="AG31" s="68">
        <f t="shared" si="5"/>
        <v>0</v>
      </c>
      <c r="AH31" s="68">
        <f t="shared" si="6"/>
        <v>0</v>
      </c>
      <c r="AI31" s="68">
        <f t="shared" si="7"/>
        <v>0</v>
      </c>
      <c r="AJ31" s="68">
        <f t="shared" si="8"/>
        <v>0</v>
      </c>
      <c r="AK31" s="68">
        <f t="shared" si="9"/>
        <v>0</v>
      </c>
      <c r="AL31" s="68">
        <f t="shared" si="10"/>
        <v>0</v>
      </c>
    </row>
    <row r="32" spans="1:38" ht="12.75">
      <c r="A32" s="14">
        <v>25</v>
      </c>
      <c r="B32" s="100" t="s">
        <v>40</v>
      </c>
      <c r="C32" s="7" t="s">
        <v>10</v>
      </c>
      <c r="D32" s="7" t="s">
        <v>41</v>
      </c>
      <c r="E32" s="8">
        <v>1965</v>
      </c>
      <c r="F32" s="38">
        <v>5136.804443457776</v>
      </c>
      <c r="G32" s="38">
        <f t="shared" si="1"/>
        <v>19</v>
      </c>
      <c r="H32" s="38">
        <f t="shared" si="0"/>
        <v>5136.804443457776</v>
      </c>
      <c r="I32" s="73"/>
      <c r="J32" s="73"/>
      <c r="K32" s="76">
        <v>693.0946291560102</v>
      </c>
      <c r="L32" s="76">
        <v>794.7159841479526</v>
      </c>
      <c r="M32" s="76">
        <v>669.0265486725663</v>
      </c>
      <c r="N32" s="76">
        <v>771.6312056737587</v>
      </c>
      <c r="O32" s="69">
        <v>0</v>
      </c>
      <c r="P32" s="69">
        <v>0</v>
      </c>
      <c r="Q32" s="69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10">
        <v>714.0641076375149</v>
      </c>
      <c r="AB32" s="94">
        <v>749.4217424826521</v>
      </c>
      <c r="AC32" s="84">
        <v>974.4094488188977</v>
      </c>
      <c r="AD32" s="116">
        <f t="shared" si="2"/>
        <v>0</v>
      </c>
      <c r="AE32" s="68">
        <f t="shared" si="3"/>
        <v>0</v>
      </c>
      <c r="AF32" s="68">
        <f t="shared" si="4"/>
        <v>0</v>
      </c>
      <c r="AG32" s="68">
        <f t="shared" si="5"/>
        <v>0</v>
      </c>
      <c r="AH32" s="68">
        <f t="shared" si="6"/>
        <v>0</v>
      </c>
      <c r="AI32" s="68">
        <f t="shared" si="7"/>
        <v>0</v>
      </c>
      <c r="AJ32" s="68">
        <f t="shared" si="8"/>
        <v>0</v>
      </c>
      <c r="AK32" s="68">
        <f t="shared" si="9"/>
        <v>0</v>
      </c>
      <c r="AL32" s="68">
        <f t="shared" si="10"/>
        <v>0</v>
      </c>
    </row>
    <row r="33" spans="1:38" ht="12.75">
      <c r="A33" s="14">
        <v>26</v>
      </c>
      <c r="B33" s="100" t="s">
        <v>58</v>
      </c>
      <c r="C33" s="7" t="s">
        <v>10</v>
      </c>
      <c r="D33" s="7" t="s">
        <v>49</v>
      </c>
      <c r="E33" s="8">
        <v>1986</v>
      </c>
      <c r="F33" s="38">
        <v>14953.425044008809</v>
      </c>
      <c r="G33" s="38">
        <f t="shared" si="1"/>
        <v>19</v>
      </c>
      <c r="H33" s="38">
        <f t="shared" si="0"/>
        <v>10342.979522890022</v>
      </c>
      <c r="I33" s="73"/>
      <c r="J33" s="73"/>
      <c r="K33" s="76">
        <v>1000</v>
      </c>
      <c r="L33" s="76">
        <v>726.9372693726937</v>
      </c>
      <c r="M33" s="76">
        <v>838.8264431320251</v>
      </c>
      <c r="N33" s="76">
        <v>943.330858698342</v>
      </c>
      <c r="O33" s="76">
        <v>797.8436657681942</v>
      </c>
      <c r="P33" s="76">
        <v>796.1022762706577</v>
      </c>
      <c r="Q33" s="76">
        <v>932.5472799439646</v>
      </c>
      <c r="R33" s="76">
        <v>963.5761589403974</v>
      </c>
      <c r="S33" s="76">
        <v>949.2659053833604</v>
      </c>
      <c r="T33" s="71">
        <v>0</v>
      </c>
      <c r="U33" s="76">
        <v>772.4109701187062</v>
      </c>
      <c r="V33" s="76">
        <v>909.3525179856115</v>
      </c>
      <c r="W33" s="76">
        <v>924.6353322528364</v>
      </c>
      <c r="X33" s="71">
        <v>0</v>
      </c>
      <c r="Y33" s="76">
        <v>918.8714153561515</v>
      </c>
      <c r="Z33" s="47">
        <v>1005.7399103139016</v>
      </c>
      <c r="AA33" s="10">
        <v>954.3215613382903</v>
      </c>
      <c r="AB33" s="93">
        <v>678.3248964565114</v>
      </c>
      <c r="AC33" s="84">
        <v>841.3385826771653</v>
      </c>
      <c r="AD33" s="116">
        <f t="shared" si="2"/>
        <v>4610.445521118788</v>
      </c>
      <c r="AE33" s="68">
        <f t="shared" si="3"/>
        <v>0</v>
      </c>
      <c r="AF33" s="68">
        <f t="shared" si="4"/>
        <v>0</v>
      </c>
      <c r="AG33" s="68">
        <f t="shared" si="5"/>
        <v>678.3248964565114</v>
      </c>
      <c r="AH33" s="68">
        <f t="shared" si="6"/>
        <v>726.9372693726937</v>
      </c>
      <c r="AI33" s="68">
        <f t="shared" si="7"/>
        <v>772.4109701187062</v>
      </c>
      <c r="AJ33" s="68">
        <f t="shared" si="8"/>
        <v>796.1022762706577</v>
      </c>
      <c r="AK33" s="68">
        <f t="shared" si="9"/>
        <v>797.8436657681942</v>
      </c>
      <c r="AL33" s="68">
        <f t="shared" si="10"/>
        <v>838.8264431320251</v>
      </c>
    </row>
    <row r="34" spans="1:38" ht="12.75">
      <c r="A34" s="14">
        <v>27</v>
      </c>
      <c r="B34" s="100" t="s">
        <v>336</v>
      </c>
      <c r="F34" s="38">
        <v>489.58908541846426</v>
      </c>
      <c r="G34" s="38">
        <f t="shared" si="1"/>
        <v>19</v>
      </c>
      <c r="H34" s="38">
        <f t="shared" si="0"/>
        <v>489.58908541846426</v>
      </c>
      <c r="I34" s="73"/>
      <c r="J34" s="73"/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10">
        <v>479.58908541846426</v>
      </c>
      <c r="AB34" s="93">
        <v>10</v>
      </c>
      <c r="AC34" s="84">
        <v>325.59055118110257</v>
      </c>
      <c r="AD34" s="116">
        <f t="shared" si="2"/>
        <v>0</v>
      </c>
      <c r="AE34" s="68">
        <f t="shared" si="3"/>
        <v>0</v>
      </c>
      <c r="AF34" s="68">
        <f t="shared" si="4"/>
        <v>0</v>
      </c>
      <c r="AG34" s="68">
        <f t="shared" si="5"/>
        <v>0</v>
      </c>
      <c r="AH34" s="68">
        <f t="shared" si="6"/>
        <v>0</v>
      </c>
      <c r="AI34" s="68">
        <f t="shared" si="7"/>
        <v>0</v>
      </c>
      <c r="AJ34" s="68">
        <f t="shared" si="8"/>
        <v>0</v>
      </c>
      <c r="AK34" s="68">
        <f t="shared" si="9"/>
        <v>0</v>
      </c>
      <c r="AL34" s="68">
        <f t="shared" si="10"/>
        <v>0</v>
      </c>
    </row>
    <row r="35" spans="1:38" ht="12.75">
      <c r="A35" s="14">
        <v>28</v>
      </c>
      <c r="B35" s="100" t="s">
        <v>347</v>
      </c>
      <c r="D35" s="7" t="s">
        <v>215</v>
      </c>
      <c r="E35" s="8">
        <v>1972</v>
      </c>
      <c r="F35" s="51">
        <v>1106.7951704463662</v>
      </c>
      <c r="G35" s="38">
        <f t="shared" si="1"/>
        <v>19</v>
      </c>
      <c r="H35" s="38">
        <f t="shared" si="0"/>
        <v>1106.7951704463662</v>
      </c>
      <c r="I35" s="37"/>
      <c r="J35" s="37"/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95">
        <v>567.7717810331535</v>
      </c>
      <c r="AC35" s="84">
        <v>727.5590551181101</v>
      </c>
      <c r="AD35" s="116">
        <f t="shared" si="2"/>
        <v>0</v>
      </c>
      <c r="AE35" s="68">
        <f t="shared" si="3"/>
        <v>0</v>
      </c>
      <c r="AF35" s="68">
        <f t="shared" si="4"/>
        <v>0</v>
      </c>
      <c r="AG35" s="68">
        <f t="shared" si="5"/>
        <v>0</v>
      </c>
      <c r="AH35" s="68">
        <f t="shared" si="6"/>
        <v>0</v>
      </c>
      <c r="AI35" s="68">
        <f t="shared" si="7"/>
        <v>0</v>
      </c>
      <c r="AJ35" s="68">
        <f t="shared" si="8"/>
        <v>0</v>
      </c>
      <c r="AK35" s="68">
        <f t="shared" si="9"/>
        <v>0</v>
      </c>
      <c r="AL35" s="68">
        <f t="shared" si="10"/>
        <v>0</v>
      </c>
    </row>
    <row r="36" spans="1:38" ht="12.75">
      <c r="A36" s="14">
        <v>29</v>
      </c>
      <c r="B36" s="100" t="s">
        <v>135</v>
      </c>
      <c r="C36" s="7" t="s">
        <v>10</v>
      </c>
      <c r="D36" s="7" t="s">
        <v>19</v>
      </c>
      <c r="E36" s="8">
        <v>1978</v>
      </c>
      <c r="F36" s="38">
        <v>1052.2543269591665</v>
      </c>
      <c r="G36" s="38">
        <f t="shared" si="1"/>
        <v>19</v>
      </c>
      <c r="H36" s="38">
        <f t="shared" si="0"/>
        <v>1052.2543269591665</v>
      </c>
      <c r="I36" s="73"/>
      <c r="J36" s="73"/>
      <c r="K36" s="69">
        <v>0</v>
      </c>
      <c r="L36" s="69">
        <v>0</v>
      </c>
      <c r="M36" s="69">
        <v>0</v>
      </c>
      <c r="N36" s="76">
        <v>512.9078014184396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95">
        <v>539.346525540727</v>
      </c>
      <c r="AC36" s="84">
        <v>572.0472440944882</v>
      </c>
      <c r="AD36" s="116">
        <f t="shared" si="2"/>
        <v>0</v>
      </c>
      <c r="AE36" s="68">
        <f t="shared" si="3"/>
        <v>0</v>
      </c>
      <c r="AF36" s="68">
        <f t="shared" si="4"/>
        <v>0</v>
      </c>
      <c r="AG36" s="68">
        <f t="shared" si="5"/>
        <v>0</v>
      </c>
      <c r="AH36" s="68">
        <f t="shared" si="6"/>
        <v>0</v>
      </c>
      <c r="AI36" s="68">
        <f t="shared" si="7"/>
        <v>0</v>
      </c>
      <c r="AJ36" s="68">
        <f t="shared" si="8"/>
        <v>0</v>
      </c>
      <c r="AK36" s="68">
        <f t="shared" si="9"/>
        <v>0</v>
      </c>
      <c r="AL36" s="68">
        <f t="shared" si="10"/>
        <v>0</v>
      </c>
    </row>
    <row r="37" spans="1:38" ht="12.75">
      <c r="A37" s="14">
        <v>30</v>
      </c>
      <c r="B37" s="100" t="s">
        <v>59</v>
      </c>
      <c r="C37" s="7" t="s">
        <v>10</v>
      </c>
      <c r="D37" s="7" t="s">
        <v>11</v>
      </c>
      <c r="E37" s="8">
        <v>1969</v>
      </c>
      <c r="F37" s="38">
        <v>10762.340793230054</v>
      </c>
      <c r="G37" s="38">
        <f t="shared" si="1"/>
        <v>19</v>
      </c>
      <c r="H37" s="38">
        <f t="shared" si="0"/>
        <v>7758.970776059663</v>
      </c>
      <c r="I37" s="73"/>
      <c r="J37" s="73"/>
      <c r="K37" s="76">
        <v>744.923504867872</v>
      </c>
      <c r="L37" s="76">
        <v>677.9392338177015</v>
      </c>
      <c r="M37" s="76">
        <v>524.9557522123896</v>
      </c>
      <c r="N37" s="76">
        <v>612.7659574468086</v>
      </c>
      <c r="O37" s="76">
        <v>0</v>
      </c>
      <c r="P37" s="76">
        <v>737.1017471736898</v>
      </c>
      <c r="Q37" s="76">
        <v>759.5789473684212</v>
      </c>
      <c r="R37" s="76">
        <v>802.1001221001222</v>
      </c>
      <c r="S37" s="76">
        <v>671.9934906427993</v>
      </c>
      <c r="T37" s="76">
        <v>663.5998539612997</v>
      </c>
      <c r="U37" s="76">
        <v>648.1568627450981</v>
      </c>
      <c r="V37" s="76">
        <v>671.6187806587245</v>
      </c>
      <c r="W37" s="76">
        <v>612.7111826226869</v>
      </c>
      <c r="X37" s="70">
        <v>0</v>
      </c>
      <c r="Y37" s="76">
        <v>840</v>
      </c>
      <c r="Z37" s="47">
        <v>672.1011438892234</v>
      </c>
      <c r="AA37" s="69">
        <v>0</v>
      </c>
      <c r="AB37" s="107">
        <v>604.780262143408</v>
      </c>
      <c r="AC37" s="84">
        <v>702.3622047244096</v>
      </c>
      <c r="AD37" s="116">
        <f t="shared" si="2"/>
        <v>3003.3700171703913</v>
      </c>
      <c r="AE37" s="68">
        <f t="shared" si="3"/>
        <v>0</v>
      </c>
      <c r="AF37" s="68">
        <f t="shared" si="4"/>
        <v>0</v>
      </c>
      <c r="AG37" s="68">
        <f t="shared" si="5"/>
        <v>0</v>
      </c>
      <c r="AH37" s="68">
        <f t="shared" si="6"/>
        <v>524.9557522123896</v>
      </c>
      <c r="AI37" s="68">
        <f t="shared" si="7"/>
        <v>604.780262143408</v>
      </c>
      <c r="AJ37" s="68">
        <f t="shared" si="8"/>
        <v>612.7111826226869</v>
      </c>
      <c r="AK37" s="68">
        <f t="shared" si="9"/>
        <v>612.7659574468086</v>
      </c>
      <c r="AL37" s="68">
        <f t="shared" si="10"/>
        <v>648.1568627450981</v>
      </c>
    </row>
    <row r="38" spans="1:38" ht="12.75">
      <c r="A38" s="14">
        <v>31</v>
      </c>
      <c r="B38" s="100" t="s">
        <v>348</v>
      </c>
      <c r="D38" s="7" t="s">
        <v>112</v>
      </c>
      <c r="E38" s="8">
        <v>1968</v>
      </c>
      <c r="F38" s="38">
        <v>532.6137239784119</v>
      </c>
      <c r="G38" s="38">
        <f t="shared" si="1"/>
        <v>19</v>
      </c>
      <c r="H38" s="38">
        <f t="shared" si="0"/>
        <v>532.6137239784119</v>
      </c>
      <c r="I38" s="37"/>
      <c r="J38" s="37"/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95">
        <v>532.6137239784119</v>
      </c>
      <c r="AC38" s="84">
        <v>2000</v>
      </c>
      <c r="AD38" s="116">
        <f t="shared" si="2"/>
        <v>0</v>
      </c>
      <c r="AE38" s="68">
        <f t="shared" si="3"/>
        <v>0</v>
      </c>
      <c r="AF38" s="68">
        <f t="shared" si="4"/>
        <v>0</v>
      </c>
      <c r="AG38" s="68">
        <f t="shared" si="5"/>
        <v>0</v>
      </c>
      <c r="AH38" s="68">
        <f t="shared" si="6"/>
        <v>0</v>
      </c>
      <c r="AI38" s="68">
        <f t="shared" si="7"/>
        <v>0</v>
      </c>
      <c r="AJ38" s="68">
        <f t="shared" si="8"/>
        <v>0</v>
      </c>
      <c r="AK38" s="68">
        <f t="shared" si="9"/>
        <v>0</v>
      </c>
      <c r="AL38" s="68">
        <f t="shared" si="10"/>
        <v>0</v>
      </c>
    </row>
    <row r="39" spans="1:38" ht="12.75">
      <c r="A39" s="14">
        <v>32</v>
      </c>
      <c r="B39" s="100" t="s">
        <v>344</v>
      </c>
      <c r="C39" s="7" t="s">
        <v>10</v>
      </c>
      <c r="D39" s="7" t="s">
        <v>53</v>
      </c>
      <c r="E39" s="8">
        <v>1983</v>
      </c>
      <c r="F39" s="38">
        <v>1049.294128730918</v>
      </c>
      <c r="G39" s="38">
        <f t="shared" si="1"/>
        <v>19</v>
      </c>
      <c r="H39" s="38">
        <f t="shared" si="0"/>
        <v>1049.294128730918</v>
      </c>
      <c r="I39" s="37"/>
      <c r="J39" s="37"/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95">
        <v>594.5697192820987</v>
      </c>
      <c r="AC39" s="84">
        <v>454.7244094488192</v>
      </c>
      <c r="AD39" s="116">
        <f t="shared" si="2"/>
        <v>0</v>
      </c>
      <c r="AE39" s="68">
        <f t="shared" si="3"/>
        <v>0</v>
      </c>
      <c r="AF39" s="68">
        <f t="shared" si="4"/>
        <v>0</v>
      </c>
      <c r="AG39" s="68">
        <f t="shared" si="5"/>
        <v>0</v>
      </c>
      <c r="AH39" s="68">
        <f t="shared" si="6"/>
        <v>0</v>
      </c>
      <c r="AI39" s="68">
        <f t="shared" si="7"/>
        <v>0</v>
      </c>
      <c r="AJ39" s="68">
        <f t="shared" si="8"/>
        <v>0</v>
      </c>
      <c r="AK39" s="68">
        <f t="shared" si="9"/>
        <v>0</v>
      </c>
      <c r="AL39" s="68">
        <f t="shared" si="10"/>
        <v>0</v>
      </c>
    </row>
    <row r="40" spans="1:38" ht="12.75">
      <c r="A40" s="14">
        <v>33</v>
      </c>
      <c r="B40" s="100" t="s">
        <v>162</v>
      </c>
      <c r="C40" s="7" t="s">
        <v>10</v>
      </c>
      <c r="D40" s="7" t="s">
        <v>163</v>
      </c>
      <c r="E40" s="8">
        <v>1963</v>
      </c>
      <c r="F40" s="38">
        <v>8362.182911307018</v>
      </c>
      <c r="G40" s="38">
        <f t="shared" si="1"/>
        <v>19</v>
      </c>
      <c r="H40" s="38">
        <f aca="true" t="shared" si="11" ref="H40:H71">F40-AD40</f>
        <v>6920.49639309956</v>
      </c>
      <c r="I40" s="73"/>
      <c r="J40" s="73"/>
      <c r="K40" s="69">
        <v>0</v>
      </c>
      <c r="L40" s="76">
        <v>561.6908850726553</v>
      </c>
      <c r="M40" s="72">
        <v>0</v>
      </c>
      <c r="N40" s="76">
        <v>587.9905437352246</v>
      </c>
      <c r="O40" s="76">
        <v>568.3646112600536</v>
      </c>
      <c r="P40" s="76">
        <v>744.9400479616309</v>
      </c>
      <c r="Q40" s="76">
        <v>753.8575851393191</v>
      </c>
      <c r="R40" s="76">
        <v>428.18070818070805</v>
      </c>
      <c r="S40" s="76">
        <v>530.5777054515867</v>
      </c>
      <c r="T40" s="76">
        <v>586.783497626871</v>
      </c>
      <c r="U40" s="76">
        <v>482.92810457516333</v>
      </c>
      <c r="V40" s="76">
        <v>628.7316047652416</v>
      </c>
      <c r="W40" s="76">
        <v>721.4802896218824</v>
      </c>
      <c r="X40" s="71">
        <v>0</v>
      </c>
      <c r="Y40" s="71">
        <v>0</v>
      </c>
      <c r="Z40" s="71">
        <v>0</v>
      </c>
      <c r="AA40" s="10">
        <v>609.244163039177</v>
      </c>
      <c r="AB40" s="96">
        <v>617.7332305319968</v>
      </c>
      <c r="AC40" s="84">
        <v>728.3464566929132</v>
      </c>
      <c r="AD40" s="116">
        <f t="shared" si="2"/>
        <v>1441.686518207458</v>
      </c>
      <c r="AE40" s="68">
        <f t="shared" si="3"/>
        <v>0</v>
      </c>
      <c r="AF40" s="68">
        <f t="shared" si="4"/>
        <v>0</v>
      </c>
      <c r="AG40" s="68">
        <f t="shared" si="5"/>
        <v>0</v>
      </c>
      <c r="AH40" s="68">
        <f t="shared" si="6"/>
        <v>0</v>
      </c>
      <c r="AI40" s="68">
        <f t="shared" si="7"/>
        <v>0</v>
      </c>
      <c r="AJ40" s="68">
        <f t="shared" si="8"/>
        <v>428.18070818070805</v>
      </c>
      <c r="AK40" s="68">
        <f t="shared" si="9"/>
        <v>482.92810457516333</v>
      </c>
      <c r="AL40" s="68">
        <f t="shared" si="10"/>
        <v>530.5777054515867</v>
      </c>
    </row>
    <row r="41" spans="1:38" ht="12.75">
      <c r="A41" s="14">
        <v>34</v>
      </c>
      <c r="B41" s="100" t="s">
        <v>140</v>
      </c>
      <c r="C41" s="7" t="s">
        <v>10</v>
      </c>
      <c r="D41" s="7" t="s">
        <v>143</v>
      </c>
      <c r="E41" s="8">
        <v>2001</v>
      </c>
      <c r="F41" s="38">
        <v>4155.238631368322</v>
      </c>
      <c r="G41" s="38">
        <f t="shared" si="1"/>
        <v>19</v>
      </c>
      <c r="H41" s="38">
        <f t="shared" si="11"/>
        <v>4155.238631368322</v>
      </c>
      <c r="I41" s="73"/>
      <c r="J41" s="73"/>
      <c r="K41" s="69">
        <v>0</v>
      </c>
      <c r="L41" s="76">
        <v>640.7185628742516</v>
      </c>
      <c r="M41" s="76">
        <v>418.54388635210546</v>
      </c>
      <c r="N41" s="76">
        <v>460.2289404167889</v>
      </c>
      <c r="O41" s="69">
        <v>0</v>
      </c>
      <c r="P41" s="69">
        <v>0</v>
      </c>
      <c r="Q41" s="69">
        <v>0</v>
      </c>
      <c r="R41" s="72">
        <v>0</v>
      </c>
      <c r="S41" s="76">
        <v>550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10">
        <v>770</v>
      </c>
      <c r="AB41" s="96">
        <v>615.7472417251755</v>
      </c>
      <c r="AC41" s="84">
        <v>1053.1496062992126</v>
      </c>
      <c r="AD41" s="116">
        <f t="shared" si="2"/>
        <v>0</v>
      </c>
      <c r="AE41" s="68">
        <f t="shared" si="3"/>
        <v>0</v>
      </c>
      <c r="AF41" s="68">
        <f t="shared" si="4"/>
        <v>0</v>
      </c>
      <c r="AG41" s="68">
        <f t="shared" si="5"/>
        <v>0</v>
      </c>
      <c r="AH41" s="68">
        <f t="shared" si="6"/>
        <v>0</v>
      </c>
      <c r="AI41" s="68">
        <f t="shared" si="7"/>
        <v>0</v>
      </c>
      <c r="AJ41" s="68">
        <f t="shared" si="8"/>
        <v>0</v>
      </c>
      <c r="AK41" s="68">
        <f t="shared" si="9"/>
        <v>0</v>
      </c>
      <c r="AL41" s="68">
        <f t="shared" si="10"/>
        <v>0</v>
      </c>
    </row>
    <row r="42" spans="1:38" ht="12.75">
      <c r="A42" s="14">
        <v>35</v>
      </c>
      <c r="B42" s="100" t="s">
        <v>129</v>
      </c>
      <c r="C42" s="7" t="s">
        <v>131</v>
      </c>
      <c r="D42" s="7" t="s">
        <v>130</v>
      </c>
      <c r="E42" s="8">
        <v>1982</v>
      </c>
      <c r="F42" s="38">
        <v>7438.652392589033</v>
      </c>
      <c r="G42" s="38">
        <f t="shared" si="1"/>
        <v>19</v>
      </c>
      <c r="H42" s="38">
        <f t="shared" si="11"/>
        <v>7438.652392589033</v>
      </c>
      <c r="I42" s="73"/>
      <c r="J42" s="73"/>
      <c r="K42" s="69">
        <v>0</v>
      </c>
      <c r="L42" s="76">
        <v>0</v>
      </c>
      <c r="M42" s="76">
        <v>724.3284435130502</v>
      </c>
      <c r="N42" s="76">
        <v>809.9480326651818</v>
      </c>
      <c r="O42" s="76">
        <v>727</v>
      </c>
      <c r="P42" s="76">
        <v>439</v>
      </c>
      <c r="Q42" s="76">
        <v>957</v>
      </c>
      <c r="R42" s="76">
        <v>754.9668874172185</v>
      </c>
      <c r="S42" s="76">
        <v>0</v>
      </c>
      <c r="T42" s="71">
        <v>0</v>
      </c>
      <c r="U42" s="76">
        <v>833.4015554645925</v>
      </c>
      <c r="V42" s="76">
        <v>0</v>
      </c>
      <c r="W42" s="76">
        <v>682.3338735818476</v>
      </c>
      <c r="X42" s="71">
        <v>0</v>
      </c>
      <c r="Y42" s="76">
        <v>611.933395004625</v>
      </c>
      <c r="Z42" s="47">
        <v>0</v>
      </c>
      <c r="AA42" s="69">
        <v>0</v>
      </c>
      <c r="AB42" s="107">
        <v>10</v>
      </c>
      <c r="AC42" s="84">
        <v>888.976377952756</v>
      </c>
      <c r="AD42" s="116">
        <f t="shared" si="2"/>
        <v>0</v>
      </c>
      <c r="AE42" s="68">
        <f t="shared" si="3"/>
        <v>0</v>
      </c>
      <c r="AF42" s="68">
        <f t="shared" si="4"/>
        <v>0</v>
      </c>
      <c r="AG42" s="68">
        <f t="shared" si="5"/>
        <v>0</v>
      </c>
      <c r="AH42" s="68">
        <f t="shared" si="6"/>
        <v>0</v>
      </c>
      <c r="AI42" s="68">
        <f t="shared" si="7"/>
        <v>0</v>
      </c>
      <c r="AJ42" s="68">
        <f t="shared" si="8"/>
        <v>0</v>
      </c>
      <c r="AK42" s="68">
        <f t="shared" si="9"/>
        <v>0</v>
      </c>
      <c r="AL42" s="68">
        <f>SMALL(K42:AC42,8)</f>
        <v>0</v>
      </c>
    </row>
    <row r="43" spans="1:38" ht="12.75">
      <c r="A43" s="14">
        <v>36</v>
      </c>
      <c r="B43" s="100" t="s">
        <v>272</v>
      </c>
      <c r="C43" t="s">
        <v>10</v>
      </c>
      <c r="D43" t="s">
        <v>253</v>
      </c>
      <c r="E43" s="8">
        <v>1988</v>
      </c>
      <c r="F43" s="38">
        <v>1471.0623759992436</v>
      </c>
      <c r="G43" s="38">
        <f t="shared" si="1"/>
        <v>19</v>
      </c>
      <c r="H43" s="38">
        <f t="shared" si="11"/>
        <v>1471.0623759992436</v>
      </c>
      <c r="I43" s="73"/>
      <c r="J43" s="73"/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76">
        <v>786.7549668874169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95">
        <v>684.3074091118268</v>
      </c>
      <c r="AC43" s="84">
        <v>646.8503937007874</v>
      </c>
      <c r="AD43" s="116">
        <f t="shared" si="2"/>
        <v>0</v>
      </c>
      <c r="AE43" s="68">
        <f t="shared" si="3"/>
        <v>0</v>
      </c>
      <c r="AF43" s="68">
        <f t="shared" si="4"/>
        <v>0</v>
      </c>
      <c r="AG43" s="68">
        <f t="shared" si="5"/>
        <v>0</v>
      </c>
      <c r="AH43" s="68">
        <f t="shared" si="6"/>
        <v>0</v>
      </c>
      <c r="AI43" s="68">
        <f t="shared" si="7"/>
        <v>0</v>
      </c>
      <c r="AJ43" s="68">
        <f t="shared" si="8"/>
        <v>0</v>
      </c>
      <c r="AK43" s="68">
        <f t="shared" si="9"/>
        <v>0</v>
      </c>
      <c r="AL43" s="68">
        <f t="shared" si="10"/>
        <v>0</v>
      </c>
    </row>
    <row r="44" spans="1:38" ht="12.75">
      <c r="A44" s="14">
        <v>37</v>
      </c>
      <c r="B44" s="100" t="s">
        <v>273</v>
      </c>
      <c r="C44" t="s">
        <v>10</v>
      </c>
      <c r="D44" t="s">
        <v>49</v>
      </c>
      <c r="E44" s="8">
        <v>1985</v>
      </c>
      <c r="F44" s="38">
        <v>3423.5245575868657</v>
      </c>
      <c r="G44" s="38">
        <f t="shared" si="1"/>
        <v>19</v>
      </c>
      <c r="H44" s="38">
        <f t="shared" si="11"/>
        <v>3423.5245575868657</v>
      </c>
      <c r="I44" s="73"/>
      <c r="J44" s="73"/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76">
        <v>739.7350993377482</v>
      </c>
      <c r="S44" s="76">
        <v>698.9396411092986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10">
        <v>803.1115185504746</v>
      </c>
      <c r="AB44" s="95">
        <v>437.64381040036795</v>
      </c>
      <c r="AC44" s="84">
        <v>744.0944881889766</v>
      </c>
      <c r="AD44" s="116">
        <f t="shared" si="2"/>
        <v>0</v>
      </c>
      <c r="AE44" s="68">
        <f t="shared" si="3"/>
        <v>0</v>
      </c>
      <c r="AF44" s="68">
        <f t="shared" si="4"/>
        <v>0</v>
      </c>
      <c r="AG44" s="68">
        <f t="shared" si="5"/>
        <v>0</v>
      </c>
      <c r="AH44" s="68">
        <f t="shared" si="6"/>
        <v>0</v>
      </c>
      <c r="AI44" s="68">
        <f t="shared" si="7"/>
        <v>0</v>
      </c>
      <c r="AJ44" s="68">
        <f t="shared" si="8"/>
        <v>0</v>
      </c>
      <c r="AK44" s="68">
        <f t="shared" si="9"/>
        <v>0</v>
      </c>
      <c r="AL44" s="68">
        <f t="shared" si="10"/>
        <v>0</v>
      </c>
    </row>
    <row r="45" spans="1:38" ht="12.75">
      <c r="A45" s="14">
        <v>38</v>
      </c>
      <c r="B45" s="100" t="s">
        <v>42</v>
      </c>
      <c r="C45" s="7" t="s">
        <v>10</v>
      </c>
      <c r="D45" s="7" t="s">
        <v>43</v>
      </c>
      <c r="E45" s="8">
        <v>1982</v>
      </c>
      <c r="F45" s="38">
        <v>4350.783400678767</v>
      </c>
      <c r="G45" s="38">
        <f t="shared" si="1"/>
        <v>19</v>
      </c>
      <c r="H45" s="38">
        <f t="shared" si="11"/>
        <v>4202.140970858242</v>
      </c>
      <c r="I45" s="73"/>
      <c r="J45" s="73"/>
      <c r="K45" s="76">
        <v>170.79276773296237</v>
      </c>
      <c r="L45" s="76">
        <v>0</v>
      </c>
      <c r="M45" s="76">
        <v>421.5929203539822</v>
      </c>
      <c r="N45" s="76">
        <v>462.0330969267139</v>
      </c>
      <c r="O45" s="72">
        <v>0</v>
      </c>
      <c r="P45" s="72">
        <v>0</v>
      </c>
      <c r="Q45" s="72">
        <v>0</v>
      </c>
      <c r="R45" s="76">
        <v>457.6158940397351</v>
      </c>
      <c r="S45" s="76">
        <v>407.3409461663948</v>
      </c>
      <c r="T45" s="76">
        <v>507.3828230831752</v>
      </c>
      <c r="U45" s="76">
        <v>310.0072516316172</v>
      </c>
      <c r="V45" s="76">
        <v>531.2715964063581</v>
      </c>
      <c r="W45" s="76">
        <v>514.2771565495208</v>
      </c>
      <c r="X45" s="70">
        <v>0</v>
      </c>
      <c r="Y45" s="70">
        <v>0</v>
      </c>
      <c r="Z45" s="70">
        <v>0</v>
      </c>
      <c r="AA45" s="10">
        <v>419.8265179677822</v>
      </c>
      <c r="AB45" s="96">
        <v>148.64242982052446</v>
      </c>
      <c r="AC45" s="84">
        <v>466.92913385826773</v>
      </c>
      <c r="AD45" s="116">
        <f t="shared" si="2"/>
        <v>148.64242982052446</v>
      </c>
      <c r="AE45" s="68">
        <f t="shared" si="3"/>
        <v>0</v>
      </c>
      <c r="AF45" s="68">
        <f t="shared" si="4"/>
        <v>0</v>
      </c>
      <c r="AG45" s="68">
        <f t="shared" si="5"/>
        <v>0</v>
      </c>
      <c r="AH45" s="68">
        <f t="shared" si="6"/>
        <v>0</v>
      </c>
      <c r="AI45" s="68">
        <f t="shared" si="7"/>
        <v>0</v>
      </c>
      <c r="AJ45" s="68">
        <f t="shared" si="8"/>
        <v>0</v>
      </c>
      <c r="AK45" s="68">
        <f t="shared" si="9"/>
        <v>0</v>
      </c>
      <c r="AL45" s="68">
        <f t="shared" si="10"/>
        <v>148.64242982052446</v>
      </c>
    </row>
    <row r="46" spans="1:38" ht="12.75">
      <c r="A46" s="14">
        <v>39</v>
      </c>
      <c r="B46" s="100" t="s">
        <v>349</v>
      </c>
      <c r="D46" s="7" t="s">
        <v>49</v>
      </c>
      <c r="E46" s="8">
        <v>1971</v>
      </c>
      <c r="F46" s="38">
        <v>1457.7705756379182</v>
      </c>
      <c r="G46" s="38">
        <f t="shared" si="1"/>
        <v>19</v>
      </c>
      <c r="H46" s="38">
        <f t="shared" si="11"/>
        <v>1457.7705756379182</v>
      </c>
      <c r="I46" s="37"/>
      <c r="J46" s="37"/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95">
        <v>709.6376252891288</v>
      </c>
      <c r="AC46" s="84">
        <v>978.3464566929134</v>
      </c>
      <c r="AD46" s="116">
        <f t="shared" si="2"/>
        <v>0</v>
      </c>
      <c r="AE46" s="68">
        <f t="shared" si="3"/>
        <v>0</v>
      </c>
      <c r="AF46" s="68">
        <f t="shared" si="4"/>
        <v>0</v>
      </c>
      <c r="AG46" s="68">
        <f t="shared" si="5"/>
        <v>0</v>
      </c>
      <c r="AH46" s="68">
        <f t="shared" si="6"/>
        <v>0</v>
      </c>
      <c r="AI46" s="68">
        <f t="shared" si="7"/>
        <v>0</v>
      </c>
      <c r="AJ46" s="68">
        <f t="shared" si="8"/>
        <v>0</v>
      </c>
      <c r="AK46" s="68">
        <f t="shared" si="9"/>
        <v>0</v>
      </c>
      <c r="AL46" s="68">
        <f t="shared" si="10"/>
        <v>0</v>
      </c>
    </row>
    <row r="47" spans="1:38" ht="12.75">
      <c r="A47" s="14">
        <v>40</v>
      </c>
      <c r="B47" s="100" t="s">
        <v>60</v>
      </c>
      <c r="C47" s="7" t="s">
        <v>10</v>
      </c>
      <c r="D47" s="7" t="s">
        <v>21</v>
      </c>
      <c r="E47" s="8">
        <v>1996</v>
      </c>
      <c r="F47" s="38">
        <v>12004.416135803676</v>
      </c>
      <c r="G47" s="38">
        <f t="shared" si="1"/>
        <v>19</v>
      </c>
      <c r="H47" s="38">
        <f t="shared" si="11"/>
        <v>9147.539393340669</v>
      </c>
      <c r="I47" s="73"/>
      <c r="J47" s="73"/>
      <c r="K47" s="76">
        <v>842.5591098748262</v>
      </c>
      <c r="L47" s="76">
        <v>659.7785977859778</v>
      </c>
      <c r="M47" s="76">
        <v>806.6298342541438</v>
      </c>
      <c r="N47" s="76">
        <v>936.8968077208613</v>
      </c>
      <c r="O47" s="76">
        <v>770.8894878706201</v>
      </c>
      <c r="P47" s="76">
        <v>797.8172747115688</v>
      </c>
      <c r="Q47" s="76">
        <v>932.5472799439646</v>
      </c>
      <c r="R47" s="69">
        <v>0</v>
      </c>
      <c r="S47" s="69">
        <v>0</v>
      </c>
      <c r="T47" s="76">
        <v>741.6689244107288</v>
      </c>
      <c r="U47" s="76">
        <v>750</v>
      </c>
      <c r="V47" s="76">
        <v>750</v>
      </c>
      <c r="W47" s="76">
        <v>724.2412140575079</v>
      </c>
      <c r="X47" s="71">
        <v>0</v>
      </c>
      <c r="Y47" s="76">
        <v>960.6382978723403</v>
      </c>
      <c r="Z47" s="47">
        <v>857.8923766816145</v>
      </c>
      <c r="AA47" s="69">
        <v>0</v>
      </c>
      <c r="AB47" s="107">
        <v>735.8490566037736</v>
      </c>
      <c r="AC47" s="84">
        <v>737.0078740157479</v>
      </c>
      <c r="AD47" s="116">
        <f t="shared" si="2"/>
        <v>2856.8767424630073</v>
      </c>
      <c r="AE47" s="68">
        <f t="shared" si="3"/>
        <v>0</v>
      </c>
      <c r="AF47" s="68">
        <f t="shared" si="4"/>
        <v>0</v>
      </c>
      <c r="AG47" s="68">
        <f t="shared" si="5"/>
        <v>0</v>
      </c>
      <c r="AH47" s="68">
        <f t="shared" si="6"/>
        <v>0</v>
      </c>
      <c r="AI47" s="68">
        <f t="shared" si="7"/>
        <v>659.7785977859778</v>
      </c>
      <c r="AJ47" s="68">
        <f t="shared" si="8"/>
        <v>724.2412140575079</v>
      </c>
      <c r="AK47" s="68">
        <f t="shared" si="9"/>
        <v>735.8490566037736</v>
      </c>
      <c r="AL47" s="68">
        <f t="shared" si="10"/>
        <v>737.0078740157479</v>
      </c>
    </row>
    <row r="48" spans="1:38" ht="13.5" thickBot="1">
      <c r="A48" s="99">
        <v>41</v>
      </c>
      <c r="B48" s="100" t="s">
        <v>34</v>
      </c>
      <c r="C48" s="7" t="s">
        <v>10</v>
      </c>
      <c r="D48" s="7" t="s">
        <v>35</v>
      </c>
      <c r="E48" s="8">
        <v>1973</v>
      </c>
      <c r="F48" s="38">
        <v>9135.388240063628</v>
      </c>
      <c r="G48" s="38">
        <f t="shared" si="1"/>
        <v>19</v>
      </c>
      <c r="H48" s="38">
        <f t="shared" si="11"/>
        <v>7656.68448997903</v>
      </c>
      <c r="I48" s="73"/>
      <c r="J48" s="73"/>
      <c r="K48" s="76">
        <v>471.8670076726342</v>
      </c>
      <c r="L48" s="76">
        <v>0</v>
      </c>
      <c r="M48" s="76">
        <v>602.8318584070797</v>
      </c>
      <c r="N48" s="76">
        <v>629.598108747045</v>
      </c>
      <c r="O48" s="72">
        <v>0</v>
      </c>
      <c r="P48" s="72">
        <v>0</v>
      </c>
      <c r="Q48" s="72">
        <v>0</v>
      </c>
      <c r="R48" s="76">
        <v>404.004884004884</v>
      </c>
      <c r="S48" s="76">
        <v>635.1179820992678</v>
      </c>
      <c r="T48" s="76">
        <v>740.1241328952173</v>
      </c>
      <c r="U48" s="76">
        <v>649.6209150326798</v>
      </c>
      <c r="V48" s="76">
        <v>715.6271899088997</v>
      </c>
      <c r="W48" s="76">
        <v>666.1303298471438</v>
      </c>
      <c r="X48" s="70">
        <v>0</v>
      </c>
      <c r="Y48" s="76">
        <v>798.9553496208932</v>
      </c>
      <c r="Z48" s="47">
        <v>748.4647802528597</v>
      </c>
      <c r="AA48" s="10">
        <v>616.2089434111595</v>
      </c>
      <c r="AB48" s="93">
        <v>724.1326137239784</v>
      </c>
      <c r="AC48" s="84">
        <v>959.8425196850395</v>
      </c>
      <c r="AD48" s="116">
        <f t="shared" si="2"/>
        <v>1478.703750084598</v>
      </c>
      <c r="AE48" s="68">
        <f t="shared" si="3"/>
        <v>0</v>
      </c>
      <c r="AF48" s="68">
        <f t="shared" si="4"/>
        <v>0</v>
      </c>
      <c r="AG48" s="68">
        <f t="shared" si="5"/>
        <v>0</v>
      </c>
      <c r="AH48" s="68">
        <f t="shared" si="6"/>
        <v>0</v>
      </c>
      <c r="AI48" s="68">
        <f t="shared" si="7"/>
        <v>0</v>
      </c>
      <c r="AJ48" s="68">
        <f t="shared" si="8"/>
        <v>404.004884004884</v>
      </c>
      <c r="AK48" s="68">
        <f t="shared" si="9"/>
        <v>471.8670076726342</v>
      </c>
      <c r="AL48" s="68">
        <f t="shared" si="10"/>
        <v>602.8318584070797</v>
      </c>
    </row>
    <row r="49" spans="1:38" ht="12.75">
      <c r="A49" s="14">
        <v>42</v>
      </c>
      <c r="B49" s="9" t="s">
        <v>66</v>
      </c>
      <c r="C49" s="7" t="s">
        <v>10</v>
      </c>
      <c r="D49" s="7" t="s">
        <v>67</v>
      </c>
      <c r="E49" s="8">
        <v>1999</v>
      </c>
      <c r="F49" s="38">
        <v>9168.771804474944</v>
      </c>
      <c r="G49" s="38">
        <f t="shared" si="1"/>
        <v>17</v>
      </c>
      <c r="H49" s="38">
        <f t="shared" si="11"/>
        <v>7361.858288183477</v>
      </c>
      <c r="I49" s="73"/>
      <c r="J49" s="73"/>
      <c r="K49" s="76">
        <v>800</v>
      </c>
      <c r="L49" s="76">
        <v>460.47904191616783</v>
      </c>
      <c r="M49" s="72">
        <v>0</v>
      </c>
      <c r="N49" s="76">
        <v>620.4872321690638</v>
      </c>
      <c r="O49" s="76">
        <v>782.1268990169793</v>
      </c>
      <c r="P49" s="76">
        <v>725.947242206235</v>
      </c>
      <c r="Q49" s="76">
        <v>850.5758513931892</v>
      </c>
      <c r="R49" s="76">
        <v>880.1324503311258</v>
      </c>
      <c r="S49" s="76">
        <v>856.8515497553021</v>
      </c>
      <c r="T49" s="71">
        <v>0</v>
      </c>
      <c r="U49" s="76">
        <v>738.9412617839014</v>
      </c>
      <c r="V49" s="71">
        <v>0</v>
      </c>
      <c r="W49" s="71">
        <v>0</v>
      </c>
      <c r="X49" s="71">
        <v>0</v>
      </c>
      <c r="Y49" s="47">
        <v>729.4634597594818</v>
      </c>
      <c r="Z49" s="47">
        <v>843.766816143498</v>
      </c>
      <c r="AA49" s="10">
        <v>880</v>
      </c>
      <c r="AB49" s="10"/>
      <c r="AC49" s="88"/>
      <c r="AD49" s="116">
        <f t="shared" si="2"/>
        <v>1806.9135162914667</v>
      </c>
      <c r="AE49" s="68">
        <f t="shared" si="3"/>
        <v>0</v>
      </c>
      <c r="AF49" s="68">
        <f t="shared" si="4"/>
        <v>0</v>
      </c>
      <c r="AG49" s="68">
        <f t="shared" si="5"/>
        <v>0</v>
      </c>
      <c r="AH49" s="68">
        <f t="shared" si="6"/>
        <v>0</v>
      </c>
      <c r="AI49" s="68">
        <f t="shared" si="7"/>
        <v>0</v>
      </c>
      <c r="AJ49" s="68">
        <f t="shared" si="8"/>
        <v>460.47904191616783</v>
      </c>
      <c r="AK49" s="68">
        <f t="shared" si="9"/>
        <v>620.4872321690638</v>
      </c>
      <c r="AL49" s="68">
        <f t="shared" si="10"/>
        <v>725.947242206235</v>
      </c>
    </row>
    <row r="50" spans="1:36" ht="12.75">
      <c r="A50" s="14">
        <v>43</v>
      </c>
      <c r="B50" s="9" t="s">
        <v>113</v>
      </c>
      <c r="C50" s="7" t="s">
        <v>10</v>
      </c>
      <c r="D50" s="7" t="s">
        <v>67</v>
      </c>
      <c r="E50" s="8">
        <v>1967</v>
      </c>
      <c r="F50" s="38">
        <v>6920.816354638582</v>
      </c>
      <c r="G50" s="38">
        <f t="shared" si="1"/>
        <v>17</v>
      </c>
      <c r="H50" s="38">
        <f t="shared" si="11"/>
        <v>6920.816354638582</v>
      </c>
      <c r="I50" s="73"/>
      <c r="J50" s="73"/>
      <c r="K50" s="69">
        <v>0</v>
      </c>
      <c r="L50" s="76">
        <v>507.7490774907747</v>
      </c>
      <c r="M50" s="76">
        <v>935.7972947228044</v>
      </c>
      <c r="N50" s="76">
        <v>0</v>
      </c>
      <c r="O50" s="76">
        <v>745.7322551662176</v>
      </c>
      <c r="P50" s="76">
        <v>812.909260991581</v>
      </c>
      <c r="Q50" s="76">
        <v>1009.5960775157598</v>
      </c>
      <c r="R50" s="76">
        <v>935.7615894039735</v>
      </c>
      <c r="S50" s="76">
        <v>1093.2707993474717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10">
        <v>880</v>
      </c>
      <c r="AB50" s="10"/>
      <c r="AC50" s="88"/>
      <c r="AD50" s="116">
        <f aca="true" t="shared" si="12" ref="AD50:AD72">SUM(AE50:AJ50)</f>
        <v>0</v>
      </c>
      <c r="AE50" s="68">
        <f t="shared" si="3"/>
        <v>0</v>
      </c>
      <c r="AF50" s="68">
        <f t="shared" si="4"/>
        <v>0</v>
      </c>
      <c r="AG50" s="68">
        <f t="shared" si="5"/>
        <v>0</v>
      </c>
      <c r="AH50" s="68">
        <f t="shared" si="6"/>
        <v>0</v>
      </c>
      <c r="AI50" s="68">
        <f t="shared" si="7"/>
        <v>0</v>
      </c>
      <c r="AJ50" s="68">
        <f t="shared" si="8"/>
        <v>0</v>
      </c>
    </row>
    <row r="51" spans="1:36" ht="12.75">
      <c r="A51" s="14">
        <v>44</v>
      </c>
      <c r="B51" s="9" t="s">
        <v>238</v>
      </c>
      <c r="C51" t="s">
        <v>10</v>
      </c>
      <c r="D51" t="s">
        <v>49</v>
      </c>
      <c r="E51" s="8">
        <v>1983</v>
      </c>
      <c r="F51" s="38">
        <v>4155.5489779603095</v>
      </c>
      <c r="G51" s="38">
        <f t="shared" si="1"/>
        <v>17</v>
      </c>
      <c r="H51" s="38">
        <f t="shared" si="11"/>
        <v>4155.5489779603095</v>
      </c>
      <c r="I51" s="73"/>
      <c r="J51" s="73"/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6">
        <v>776.1589403973511</v>
      </c>
      <c r="S51" s="76">
        <v>720.921696574225</v>
      </c>
      <c r="T51" s="76">
        <v>654.2942292061772</v>
      </c>
      <c r="U51" s="76">
        <v>597.1718636693257</v>
      </c>
      <c r="V51" s="76">
        <v>622.7539737387697</v>
      </c>
      <c r="W51" s="70">
        <v>0</v>
      </c>
      <c r="X51" s="70">
        <v>0</v>
      </c>
      <c r="Y51" s="70">
        <v>0</v>
      </c>
      <c r="Z51" s="70">
        <v>0</v>
      </c>
      <c r="AA51" s="10">
        <v>784.248274374461</v>
      </c>
      <c r="AB51" s="10"/>
      <c r="AC51" s="88"/>
      <c r="AD51" s="116">
        <f t="shared" si="12"/>
        <v>0</v>
      </c>
      <c r="AE51" s="68">
        <f t="shared" si="3"/>
        <v>0</v>
      </c>
      <c r="AF51" s="68">
        <f t="shared" si="4"/>
        <v>0</v>
      </c>
      <c r="AG51" s="68">
        <f t="shared" si="5"/>
        <v>0</v>
      </c>
      <c r="AH51" s="68">
        <f t="shared" si="6"/>
        <v>0</v>
      </c>
      <c r="AI51" s="68">
        <f t="shared" si="7"/>
        <v>0</v>
      </c>
      <c r="AJ51" s="68">
        <f t="shared" si="8"/>
        <v>0</v>
      </c>
    </row>
    <row r="52" spans="1:36" ht="12.75">
      <c r="A52" s="14">
        <v>45</v>
      </c>
      <c r="B52" s="29" t="s">
        <v>283</v>
      </c>
      <c r="C52" s="7" t="s">
        <v>10</v>
      </c>
      <c r="D52" s="7" t="s">
        <v>284</v>
      </c>
      <c r="E52" s="8">
        <v>1983</v>
      </c>
      <c r="F52" s="38">
        <v>505.71778140293645</v>
      </c>
      <c r="G52" s="38">
        <f t="shared" si="1"/>
        <v>17</v>
      </c>
      <c r="H52" s="38">
        <f t="shared" si="11"/>
        <v>505.71778140293645</v>
      </c>
      <c r="I52" s="73"/>
      <c r="J52" s="73"/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76">
        <v>10</v>
      </c>
      <c r="S52" s="76">
        <v>495.71778140293645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10"/>
      <c r="AC52" s="88"/>
      <c r="AD52" s="116">
        <f t="shared" si="12"/>
        <v>0</v>
      </c>
      <c r="AE52" s="68">
        <f t="shared" si="3"/>
        <v>0</v>
      </c>
      <c r="AF52" s="68">
        <f t="shared" si="4"/>
        <v>0</v>
      </c>
      <c r="AG52" s="68">
        <f t="shared" si="5"/>
        <v>0</v>
      </c>
      <c r="AH52" s="68">
        <f t="shared" si="6"/>
        <v>0</v>
      </c>
      <c r="AI52" s="68">
        <f t="shared" si="7"/>
        <v>0</v>
      </c>
      <c r="AJ52" s="68">
        <f t="shared" si="8"/>
        <v>0</v>
      </c>
    </row>
    <row r="53" spans="1:36" ht="12.75">
      <c r="A53" s="14">
        <v>46</v>
      </c>
      <c r="B53" s="29" t="s">
        <v>224</v>
      </c>
      <c r="C53" s="7" t="s">
        <v>10</v>
      </c>
      <c r="D53" s="7" t="s">
        <v>225</v>
      </c>
      <c r="E53" s="8">
        <v>1967</v>
      </c>
      <c r="F53" s="38">
        <v>813.6147299043967</v>
      </c>
      <c r="G53" s="38">
        <f t="shared" si="1"/>
        <v>17</v>
      </c>
      <c r="H53" s="38">
        <f t="shared" si="11"/>
        <v>813.6147299043967</v>
      </c>
      <c r="I53" s="73"/>
      <c r="J53" s="73"/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76">
        <v>505.0061050061052</v>
      </c>
      <c r="S53" s="76">
        <v>308.60862489829145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10"/>
      <c r="AC53" s="88"/>
      <c r="AD53" s="116">
        <f t="shared" si="12"/>
        <v>0</v>
      </c>
      <c r="AE53" s="68">
        <f t="shared" si="3"/>
        <v>0</v>
      </c>
      <c r="AF53" s="68">
        <f t="shared" si="4"/>
        <v>0</v>
      </c>
      <c r="AG53" s="68">
        <f t="shared" si="5"/>
        <v>0</v>
      </c>
      <c r="AH53" s="68">
        <f t="shared" si="6"/>
        <v>0</v>
      </c>
      <c r="AI53" s="68">
        <f t="shared" si="7"/>
        <v>0</v>
      </c>
      <c r="AJ53" s="68">
        <f t="shared" si="8"/>
        <v>0</v>
      </c>
    </row>
    <row r="54" spans="1:36" ht="12.75">
      <c r="A54" s="14">
        <v>47</v>
      </c>
      <c r="B54" s="29" t="s">
        <v>205</v>
      </c>
      <c r="C54" s="7" t="s">
        <v>10</v>
      </c>
      <c r="D54" s="7" t="s">
        <v>192</v>
      </c>
      <c r="E54" s="8">
        <v>2003</v>
      </c>
      <c r="F54" s="38">
        <v>380.59334298118694</v>
      </c>
      <c r="G54" s="38">
        <f t="shared" si="1"/>
        <v>17</v>
      </c>
      <c r="H54" s="38">
        <f t="shared" si="11"/>
        <v>380.59334298118694</v>
      </c>
      <c r="I54" s="73"/>
      <c r="J54" s="73"/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76">
        <v>370.59334298118694</v>
      </c>
      <c r="S54" s="75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10">
        <v>10</v>
      </c>
      <c r="AB54" s="10"/>
      <c r="AC54" s="88"/>
      <c r="AD54" s="116">
        <f t="shared" si="12"/>
        <v>0</v>
      </c>
      <c r="AE54" s="68">
        <f t="shared" si="3"/>
        <v>0</v>
      </c>
      <c r="AF54" s="68">
        <f t="shared" si="4"/>
        <v>0</v>
      </c>
      <c r="AG54" s="68">
        <f t="shared" si="5"/>
        <v>0</v>
      </c>
      <c r="AH54" s="68">
        <f t="shared" si="6"/>
        <v>0</v>
      </c>
      <c r="AI54" s="68">
        <f t="shared" si="7"/>
        <v>0</v>
      </c>
      <c r="AJ54" s="68">
        <f t="shared" si="8"/>
        <v>0</v>
      </c>
    </row>
    <row r="55" spans="1:36" ht="12.75">
      <c r="A55" s="14">
        <v>48</v>
      </c>
      <c r="B55" s="29" t="s">
        <v>206</v>
      </c>
      <c r="C55" s="7" t="s">
        <v>10</v>
      </c>
      <c r="D55" s="7" t="s">
        <v>192</v>
      </c>
      <c r="E55" s="8">
        <v>2001</v>
      </c>
      <c r="F55" s="38">
        <v>419.6291587965019</v>
      </c>
      <c r="G55" s="38">
        <f t="shared" si="1"/>
        <v>17</v>
      </c>
      <c r="H55" s="38">
        <f t="shared" si="11"/>
        <v>419.6291587965019</v>
      </c>
      <c r="I55" s="73"/>
      <c r="J55" s="73"/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76">
        <v>86.43994211288019</v>
      </c>
      <c r="S55" s="76">
        <v>333.1892166836217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10"/>
      <c r="AC55" s="88"/>
      <c r="AD55" s="116">
        <f t="shared" si="12"/>
        <v>0</v>
      </c>
      <c r="AE55" s="68">
        <f t="shared" si="3"/>
        <v>0</v>
      </c>
      <c r="AF55" s="68">
        <f t="shared" si="4"/>
        <v>0</v>
      </c>
      <c r="AG55" s="68">
        <f t="shared" si="5"/>
        <v>0</v>
      </c>
      <c r="AH55" s="68">
        <f t="shared" si="6"/>
        <v>0</v>
      </c>
      <c r="AI55" s="68">
        <f t="shared" si="7"/>
        <v>0</v>
      </c>
      <c r="AJ55" s="68">
        <f t="shared" si="8"/>
        <v>0</v>
      </c>
    </row>
    <row r="56" spans="1:36" ht="12.75">
      <c r="A56" s="14">
        <v>49</v>
      </c>
      <c r="B56" s="9" t="s">
        <v>114</v>
      </c>
      <c r="C56" s="7" t="s">
        <v>95</v>
      </c>
      <c r="D56" s="7" t="s">
        <v>98</v>
      </c>
      <c r="F56" s="38">
        <v>1242.0842768153348</v>
      </c>
      <c r="G56" s="38">
        <f t="shared" si="1"/>
        <v>17</v>
      </c>
      <c r="H56" s="38">
        <f t="shared" si="11"/>
        <v>1242.0842768153348</v>
      </c>
      <c r="I56" s="73"/>
      <c r="J56" s="73"/>
      <c r="K56" s="69">
        <v>0</v>
      </c>
      <c r="L56" s="76">
        <v>569.0036900369005</v>
      </c>
      <c r="M56" s="76">
        <v>673.0805867784342</v>
      </c>
      <c r="N56" s="76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84"/>
      <c r="AC56" s="88"/>
      <c r="AD56" s="116">
        <f t="shared" si="12"/>
        <v>0</v>
      </c>
      <c r="AE56" s="68">
        <f t="shared" si="3"/>
        <v>0</v>
      </c>
      <c r="AF56" s="68">
        <f t="shared" si="4"/>
        <v>0</v>
      </c>
      <c r="AG56" s="68">
        <f t="shared" si="5"/>
        <v>0</v>
      </c>
      <c r="AH56" s="68">
        <f t="shared" si="6"/>
        <v>0</v>
      </c>
      <c r="AI56" s="68">
        <f t="shared" si="7"/>
        <v>0</v>
      </c>
      <c r="AJ56" s="68">
        <f t="shared" si="8"/>
        <v>0</v>
      </c>
    </row>
    <row r="57" spans="1:36" ht="12.75">
      <c r="A57" s="14">
        <v>50</v>
      </c>
      <c r="B57" s="29" t="s">
        <v>161</v>
      </c>
      <c r="C57" s="7" t="s">
        <v>10</v>
      </c>
      <c r="D57" s="7" t="s">
        <v>19</v>
      </c>
      <c r="E57" s="8">
        <v>1978</v>
      </c>
      <c r="F57" s="38">
        <v>2154.1712701624097</v>
      </c>
      <c r="G57" s="38">
        <f t="shared" si="1"/>
        <v>17</v>
      </c>
      <c r="H57" s="38">
        <f t="shared" si="11"/>
        <v>2154.1712701624097</v>
      </c>
      <c r="I57" s="73"/>
      <c r="J57" s="73"/>
      <c r="K57" s="69">
        <v>0</v>
      </c>
      <c r="L57" s="76">
        <v>616.2361623616234</v>
      </c>
      <c r="M57" s="76">
        <v>635.9306534578016</v>
      </c>
      <c r="N57" s="76">
        <v>902.0044543429846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84"/>
      <c r="AC57" s="88"/>
      <c r="AD57" s="116">
        <f t="shared" si="12"/>
        <v>0</v>
      </c>
      <c r="AE57" s="68">
        <f t="shared" si="3"/>
        <v>0</v>
      </c>
      <c r="AF57" s="68">
        <f t="shared" si="4"/>
        <v>0</v>
      </c>
      <c r="AG57" s="68">
        <f t="shared" si="5"/>
        <v>0</v>
      </c>
      <c r="AH57" s="68">
        <f t="shared" si="6"/>
        <v>0</v>
      </c>
      <c r="AI57" s="68">
        <f t="shared" si="7"/>
        <v>0</v>
      </c>
      <c r="AJ57" s="68">
        <f t="shared" si="8"/>
        <v>0</v>
      </c>
    </row>
    <row r="58" spans="1:36" ht="12.75">
      <c r="A58" s="14">
        <v>51</v>
      </c>
      <c r="B58" s="9" t="s">
        <v>71</v>
      </c>
      <c r="C58" s="7" t="s">
        <v>10</v>
      </c>
      <c r="D58" s="7" t="s">
        <v>72</v>
      </c>
      <c r="E58" s="8">
        <v>1983</v>
      </c>
      <c r="F58" s="38">
        <v>713.7691237830319</v>
      </c>
      <c r="G58" s="38">
        <f t="shared" si="1"/>
        <v>17</v>
      </c>
      <c r="H58" s="38">
        <f t="shared" si="11"/>
        <v>713.7691237830319</v>
      </c>
      <c r="I58" s="73"/>
      <c r="J58" s="73"/>
      <c r="K58" s="76">
        <v>713.7691237830319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84"/>
      <c r="AC58" s="88"/>
      <c r="AD58" s="116">
        <f t="shared" si="12"/>
        <v>0</v>
      </c>
      <c r="AE58" s="68">
        <f t="shared" si="3"/>
        <v>0</v>
      </c>
      <c r="AF58" s="68">
        <f t="shared" si="4"/>
        <v>0</v>
      </c>
      <c r="AG58" s="68">
        <f t="shared" si="5"/>
        <v>0</v>
      </c>
      <c r="AH58" s="68">
        <f t="shared" si="6"/>
        <v>0</v>
      </c>
      <c r="AI58" s="68">
        <f t="shared" si="7"/>
        <v>0</v>
      </c>
      <c r="AJ58" s="68">
        <f t="shared" si="8"/>
        <v>0</v>
      </c>
    </row>
    <row r="59" spans="1:36" ht="12.75">
      <c r="A59" s="14">
        <v>52</v>
      </c>
      <c r="B59" s="9" t="s">
        <v>239</v>
      </c>
      <c r="C59" t="s">
        <v>187</v>
      </c>
      <c r="D59" t="s">
        <v>240</v>
      </c>
      <c r="E59" s="8">
        <v>1991</v>
      </c>
      <c r="F59" s="38">
        <v>6481.337169234907</v>
      </c>
      <c r="G59" s="38">
        <f t="shared" si="1"/>
        <v>17</v>
      </c>
      <c r="H59" s="38">
        <f t="shared" si="11"/>
        <v>6481.337169234907</v>
      </c>
      <c r="I59" s="73"/>
      <c r="J59" s="73"/>
      <c r="K59" s="69">
        <v>0</v>
      </c>
      <c r="L59" s="69">
        <v>0</v>
      </c>
      <c r="M59" s="69">
        <v>0</v>
      </c>
      <c r="N59" s="69">
        <v>0</v>
      </c>
      <c r="O59" s="76">
        <v>869.7214734950587</v>
      </c>
      <c r="P59" s="76">
        <v>960.3991269098848</v>
      </c>
      <c r="Q59" s="75">
        <v>958.7438711183748</v>
      </c>
      <c r="R59" s="76">
        <v>970.8609271523179</v>
      </c>
      <c r="S59" s="76">
        <v>955.995106035889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36">
        <v>800.3700277520811</v>
      </c>
      <c r="Z59" s="36">
        <v>965.2466367713007</v>
      </c>
      <c r="AA59" s="69">
        <v>0</v>
      </c>
      <c r="AB59" s="84"/>
      <c r="AC59" s="88"/>
      <c r="AD59" s="116">
        <f t="shared" si="12"/>
        <v>0</v>
      </c>
      <c r="AE59" s="68">
        <f t="shared" si="3"/>
        <v>0</v>
      </c>
      <c r="AF59" s="68">
        <f t="shared" si="4"/>
        <v>0</v>
      </c>
      <c r="AG59" s="68">
        <f t="shared" si="5"/>
        <v>0</v>
      </c>
      <c r="AH59" s="68">
        <f t="shared" si="6"/>
        <v>0</v>
      </c>
      <c r="AI59" s="68">
        <f t="shared" si="7"/>
        <v>0</v>
      </c>
      <c r="AJ59" s="68">
        <f t="shared" si="8"/>
        <v>0</v>
      </c>
    </row>
    <row r="60" spans="1:36" ht="12.75">
      <c r="A60" s="14">
        <v>53</v>
      </c>
      <c r="B60" s="9" t="s">
        <v>73</v>
      </c>
      <c r="C60" s="7" t="s">
        <v>10</v>
      </c>
      <c r="D60" s="7" t="s">
        <v>74</v>
      </c>
      <c r="E60" s="8">
        <v>1973</v>
      </c>
      <c r="F60" s="38">
        <v>2959.433260868973</v>
      </c>
      <c r="G60" s="38">
        <f t="shared" si="1"/>
        <v>17</v>
      </c>
      <c r="H60" s="38">
        <f t="shared" si="11"/>
        <v>2959.433260868973</v>
      </c>
      <c r="I60" s="73"/>
      <c r="J60" s="73"/>
      <c r="K60" s="76">
        <v>696.2447844228093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76">
        <v>776.6906474820144</v>
      </c>
      <c r="W60" s="76">
        <v>743.1118314424637</v>
      </c>
      <c r="X60" s="69">
        <v>0</v>
      </c>
      <c r="Y60" s="69">
        <v>0</v>
      </c>
      <c r="Z60" s="69">
        <v>0</v>
      </c>
      <c r="AA60" s="10">
        <v>743.3859975216855</v>
      </c>
      <c r="AB60" s="84"/>
      <c r="AC60" s="88"/>
      <c r="AD60" s="116">
        <f t="shared" si="12"/>
        <v>0</v>
      </c>
      <c r="AE60" s="68">
        <f t="shared" si="3"/>
        <v>0</v>
      </c>
      <c r="AF60" s="68">
        <f t="shared" si="4"/>
        <v>0</v>
      </c>
      <c r="AG60" s="68">
        <f t="shared" si="5"/>
        <v>0</v>
      </c>
      <c r="AH60" s="68">
        <f t="shared" si="6"/>
        <v>0</v>
      </c>
      <c r="AI60" s="68">
        <f t="shared" si="7"/>
        <v>0</v>
      </c>
      <c r="AJ60" s="68">
        <f t="shared" si="8"/>
        <v>0</v>
      </c>
    </row>
    <row r="61" spans="1:36" ht="12.75">
      <c r="A61" s="14">
        <v>54</v>
      </c>
      <c r="B61" s="9" t="s">
        <v>241</v>
      </c>
      <c r="C61" t="s">
        <v>10</v>
      </c>
      <c r="D61" t="s">
        <v>49</v>
      </c>
      <c r="E61" s="8">
        <v>1983</v>
      </c>
      <c r="F61" s="38">
        <v>1551.8377597164267</v>
      </c>
      <c r="G61" s="38">
        <f t="shared" si="1"/>
        <v>17</v>
      </c>
      <c r="H61" s="38">
        <f t="shared" si="11"/>
        <v>1551.8377597164267</v>
      </c>
      <c r="I61" s="73"/>
      <c r="J61" s="73"/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76">
        <v>248.34437086092717</v>
      </c>
      <c r="S61" s="76">
        <v>500.2039151712889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10">
        <v>803.2894736842105</v>
      </c>
      <c r="AB61" s="84"/>
      <c r="AC61" s="88"/>
      <c r="AD61" s="116">
        <f t="shared" si="12"/>
        <v>0</v>
      </c>
      <c r="AE61" s="68">
        <f t="shared" si="3"/>
        <v>0</v>
      </c>
      <c r="AF61" s="68">
        <f t="shared" si="4"/>
        <v>0</v>
      </c>
      <c r="AG61" s="68">
        <f t="shared" si="5"/>
        <v>0</v>
      </c>
      <c r="AH61" s="68">
        <f t="shared" si="6"/>
        <v>0</v>
      </c>
      <c r="AI61" s="68">
        <f t="shared" si="7"/>
        <v>0</v>
      </c>
      <c r="AJ61" s="68">
        <f t="shared" si="8"/>
        <v>0</v>
      </c>
    </row>
    <row r="62" spans="1:36" ht="12.75">
      <c r="A62" s="14">
        <v>55</v>
      </c>
      <c r="B62" s="29" t="s">
        <v>226</v>
      </c>
      <c r="C62" s="7" t="s">
        <v>10</v>
      </c>
      <c r="D62" s="7" t="s">
        <v>67</v>
      </c>
      <c r="E62" s="8">
        <v>1967</v>
      </c>
      <c r="F62" s="38">
        <v>172.45421245421264</v>
      </c>
      <c r="G62" s="38">
        <f t="shared" si="1"/>
        <v>17</v>
      </c>
      <c r="H62" s="38">
        <f t="shared" si="11"/>
        <v>172.45421245421264</v>
      </c>
      <c r="I62" s="73"/>
      <c r="J62" s="73"/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76">
        <v>172.45421245421264</v>
      </c>
      <c r="S62" s="76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84"/>
      <c r="AC62" s="88"/>
      <c r="AD62" s="116">
        <f t="shared" si="12"/>
        <v>0</v>
      </c>
      <c r="AE62" s="68">
        <f t="shared" si="3"/>
        <v>0</v>
      </c>
      <c r="AF62" s="68">
        <f t="shared" si="4"/>
        <v>0</v>
      </c>
      <c r="AG62" s="68">
        <f t="shared" si="5"/>
        <v>0</v>
      </c>
      <c r="AH62" s="68">
        <f t="shared" si="6"/>
        <v>0</v>
      </c>
      <c r="AI62" s="68">
        <f t="shared" si="7"/>
        <v>0</v>
      </c>
      <c r="AJ62" s="68">
        <f t="shared" si="8"/>
        <v>0</v>
      </c>
    </row>
    <row r="63" spans="1:36" ht="12.75">
      <c r="A63" s="14">
        <v>56</v>
      </c>
      <c r="B63" s="29" t="s">
        <v>337</v>
      </c>
      <c r="F63" s="38">
        <v>406.5690542144836</v>
      </c>
      <c r="G63" s="38">
        <f t="shared" si="1"/>
        <v>17</v>
      </c>
      <c r="H63" s="38">
        <f t="shared" si="11"/>
        <v>406.5690542144836</v>
      </c>
      <c r="I63" s="73"/>
      <c r="J63" s="73"/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10">
        <v>406.5690542144836</v>
      </c>
      <c r="AB63" s="84"/>
      <c r="AC63" s="88"/>
      <c r="AD63" s="116">
        <f t="shared" si="12"/>
        <v>0</v>
      </c>
      <c r="AE63" s="68">
        <f t="shared" si="3"/>
        <v>0</v>
      </c>
      <c r="AF63" s="68">
        <f t="shared" si="4"/>
        <v>0</v>
      </c>
      <c r="AG63" s="68">
        <f t="shared" si="5"/>
        <v>0</v>
      </c>
      <c r="AH63" s="68">
        <f t="shared" si="6"/>
        <v>0</v>
      </c>
      <c r="AI63" s="68">
        <f t="shared" si="7"/>
        <v>0</v>
      </c>
      <c r="AJ63" s="68">
        <f t="shared" si="8"/>
        <v>0</v>
      </c>
    </row>
    <row r="64" spans="1:36" ht="12.75">
      <c r="A64" s="14">
        <v>57</v>
      </c>
      <c r="B64" s="9" t="s">
        <v>116</v>
      </c>
      <c r="C64" s="7" t="s">
        <v>10</v>
      </c>
      <c r="D64" s="7" t="s">
        <v>117</v>
      </c>
      <c r="E64" s="8">
        <v>1983</v>
      </c>
      <c r="F64" s="38">
        <v>682.7967231853689</v>
      </c>
      <c r="G64" s="38">
        <f t="shared" si="1"/>
        <v>17</v>
      </c>
      <c r="H64" s="38">
        <f t="shared" si="11"/>
        <v>682.7967231853689</v>
      </c>
      <c r="I64" s="73"/>
      <c r="J64" s="73"/>
      <c r="K64" s="69">
        <v>0</v>
      </c>
      <c r="L64" s="76">
        <v>0</v>
      </c>
      <c r="M64" s="76">
        <v>682.7967231853689</v>
      </c>
      <c r="N64" s="76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84"/>
      <c r="AC64" s="88"/>
      <c r="AD64" s="116">
        <f t="shared" si="12"/>
        <v>0</v>
      </c>
      <c r="AE64" s="68">
        <f t="shared" si="3"/>
        <v>0</v>
      </c>
      <c r="AF64" s="68">
        <f t="shared" si="4"/>
        <v>0</v>
      </c>
      <c r="AG64" s="68">
        <f t="shared" si="5"/>
        <v>0</v>
      </c>
      <c r="AH64" s="68">
        <f t="shared" si="6"/>
        <v>0</v>
      </c>
      <c r="AI64" s="68">
        <f t="shared" si="7"/>
        <v>0</v>
      </c>
      <c r="AJ64" s="68">
        <f t="shared" si="8"/>
        <v>0</v>
      </c>
    </row>
    <row r="65" spans="1:36" ht="12.75">
      <c r="A65" s="14">
        <v>58</v>
      </c>
      <c r="B65" s="29" t="s">
        <v>227</v>
      </c>
      <c r="C65" s="7" t="s">
        <v>10</v>
      </c>
      <c r="D65" s="7" t="s">
        <v>235</v>
      </c>
      <c r="E65" s="8">
        <v>1969</v>
      </c>
      <c r="F65" s="38">
        <v>888.2299654960359</v>
      </c>
      <c r="G65" s="38">
        <f t="shared" si="1"/>
        <v>17</v>
      </c>
      <c r="H65" s="38">
        <f t="shared" si="11"/>
        <v>888.2299654960359</v>
      </c>
      <c r="I65" s="73"/>
      <c r="J65" s="73"/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76">
        <v>429.2551892551895</v>
      </c>
      <c r="S65" s="76">
        <v>458.9747762408464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84"/>
      <c r="AC65" s="88"/>
      <c r="AD65" s="116">
        <f t="shared" si="12"/>
        <v>0</v>
      </c>
      <c r="AE65" s="68">
        <f t="shared" si="3"/>
        <v>0</v>
      </c>
      <c r="AF65" s="68">
        <f t="shared" si="4"/>
        <v>0</v>
      </c>
      <c r="AG65" s="68">
        <f t="shared" si="5"/>
        <v>0</v>
      </c>
      <c r="AH65" s="68">
        <f t="shared" si="6"/>
        <v>0</v>
      </c>
      <c r="AI65" s="68">
        <f t="shared" si="7"/>
        <v>0</v>
      </c>
      <c r="AJ65" s="68">
        <f t="shared" si="8"/>
        <v>0</v>
      </c>
    </row>
    <row r="66" spans="1:36" ht="12.75">
      <c r="A66" s="14">
        <v>59</v>
      </c>
      <c r="B66" s="29" t="s">
        <v>167</v>
      </c>
      <c r="C66" s="7" t="s">
        <v>10</v>
      </c>
      <c r="D66" t="s">
        <v>67</v>
      </c>
      <c r="E66" s="8">
        <v>1982</v>
      </c>
      <c r="F66" s="38">
        <v>1080.246184653339</v>
      </c>
      <c r="G66" s="38">
        <f t="shared" si="1"/>
        <v>17</v>
      </c>
      <c r="H66" s="38">
        <f t="shared" si="11"/>
        <v>1080.246184653339</v>
      </c>
      <c r="I66" s="73"/>
      <c r="J66" s="73"/>
      <c r="K66" s="69">
        <v>0</v>
      </c>
      <c r="L66" s="69">
        <v>0</v>
      </c>
      <c r="M66" s="69">
        <v>0</v>
      </c>
      <c r="N66" s="69">
        <v>0</v>
      </c>
      <c r="O66" s="75">
        <v>0</v>
      </c>
      <c r="P66" s="76">
        <v>469.6951010620075</v>
      </c>
      <c r="Q66" s="76">
        <v>610.5510835913315</v>
      </c>
      <c r="R66" s="72">
        <v>0</v>
      </c>
      <c r="S66" s="72">
        <v>0</v>
      </c>
      <c r="T66" s="69"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88"/>
      <c r="AC66" s="88"/>
      <c r="AD66" s="116">
        <f t="shared" si="12"/>
        <v>0</v>
      </c>
      <c r="AE66" s="68">
        <f t="shared" si="3"/>
        <v>0</v>
      </c>
      <c r="AF66" s="68">
        <f t="shared" si="4"/>
        <v>0</v>
      </c>
      <c r="AG66" s="68">
        <f t="shared" si="5"/>
        <v>0</v>
      </c>
      <c r="AH66" s="68">
        <f t="shared" si="6"/>
        <v>0</v>
      </c>
      <c r="AI66" s="68">
        <f t="shared" si="7"/>
        <v>0</v>
      </c>
      <c r="AJ66" s="68">
        <f t="shared" si="8"/>
        <v>0</v>
      </c>
    </row>
    <row r="67" spans="1:36" ht="12.75">
      <c r="A67" s="14">
        <v>60</v>
      </c>
      <c r="B67" s="29" t="s">
        <v>222</v>
      </c>
      <c r="C67" s="7" t="s">
        <v>10</v>
      </c>
      <c r="D67" s="7" t="s">
        <v>234</v>
      </c>
      <c r="E67" s="8">
        <v>1995</v>
      </c>
      <c r="F67" s="38">
        <v>661.6556291390729</v>
      </c>
      <c r="G67" s="38">
        <f t="shared" si="1"/>
        <v>17</v>
      </c>
      <c r="H67" s="38">
        <f t="shared" si="11"/>
        <v>661.6556291390729</v>
      </c>
      <c r="I67" s="73"/>
      <c r="J67" s="73"/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76">
        <v>651.6556291390729</v>
      </c>
      <c r="S67" s="76">
        <v>10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88"/>
      <c r="AC67" s="88"/>
      <c r="AD67" s="116">
        <f t="shared" si="12"/>
        <v>0</v>
      </c>
      <c r="AE67" s="68">
        <f t="shared" si="3"/>
        <v>0</v>
      </c>
      <c r="AF67" s="68">
        <f t="shared" si="4"/>
        <v>0</v>
      </c>
      <c r="AG67" s="68">
        <f t="shared" si="5"/>
        <v>0</v>
      </c>
      <c r="AH67" s="68">
        <f t="shared" si="6"/>
        <v>0</v>
      </c>
      <c r="AI67" s="68">
        <f t="shared" si="7"/>
        <v>0</v>
      </c>
      <c r="AJ67" s="68">
        <f t="shared" si="8"/>
        <v>0</v>
      </c>
    </row>
    <row r="68" spans="1:36" ht="12.75">
      <c r="A68" s="14">
        <v>61</v>
      </c>
      <c r="B68" s="9" t="s">
        <v>242</v>
      </c>
      <c r="C68" t="s">
        <v>10</v>
      </c>
      <c r="D68" t="s">
        <v>243</v>
      </c>
      <c r="E68" s="8">
        <v>1987</v>
      </c>
      <c r="F68" s="38">
        <v>1501.502760282186</v>
      </c>
      <c r="G68" s="38">
        <f t="shared" si="1"/>
        <v>17</v>
      </c>
      <c r="H68" s="38">
        <f t="shared" si="11"/>
        <v>1501.502760282186</v>
      </c>
      <c r="I68" s="73"/>
      <c r="J68" s="73"/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76">
        <v>780.1324503311256</v>
      </c>
      <c r="S68" s="76">
        <v>721.3703099510604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88"/>
      <c r="AC68" s="88"/>
      <c r="AD68" s="116">
        <f t="shared" si="12"/>
        <v>0</v>
      </c>
      <c r="AE68" s="68">
        <f t="shared" si="3"/>
        <v>0</v>
      </c>
      <c r="AF68" s="68">
        <f t="shared" si="4"/>
        <v>0</v>
      </c>
      <c r="AG68" s="68">
        <f t="shared" si="5"/>
        <v>0</v>
      </c>
      <c r="AH68" s="68">
        <f t="shared" si="6"/>
        <v>0</v>
      </c>
      <c r="AI68" s="68">
        <f t="shared" si="7"/>
        <v>0</v>
      </c>
      <c r="AJ68" s="68">
        <f t="shared" si="8"/>
        <v>0</v>
      </c>
    </row>
    <row r="69" spans="1:36" ht="12.75">
      <c r="A69" s="14">
        <v>62</v>
      </c>
      <c r="B69" s="29" t="s">
        <v>207</v>
      </c>
      <c r="C69" s="7" t="s">
        <v>10</v>
      </c>
      <c r="D69" s="7" t="s">
        <v>69</v>
      </c>
      <c r="E69" s="8">
        <v>2003</v>
      </c>
      <c r="F69" s="38">
        <v>189.9542217700915</v>
      </c>
      <c r="G69" s="38">
        <f t="shared" si="1"/>
        <v>17</v>
      </c>
      <c r="H69" s="38">
        <f t="shared" si="11"/>
        <v>189.9542217700915</v>
      </c>
      <c r="I69" s="73"/>
      <c r="J69" s="73"/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76">
        <v>0</v>
      </c>
      <c r="S69" s="76">
        <v>189.9542217700915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88"/>
      <c r="AC69" s="88"/>
      <c r="AD69" s="116">
        <f t="shared" si="12"/>
        <v>0</v>
      </c>
      <c r="AE69" s="68">
        <f t="shared" si="3"/>
        <v>0</v>
      </c>
      <c r="AF69" s="68">
        <f t="shared" si="4"/>
        <v>0</v>
      </c>
      <c r="AG69" s="68">
        <f t="shared" si="5"/>
        <v>0</v>
      </c>
      <c r="AH69" s="68">
        <f t="shared" si="6"/>
        <v>0</v>
      </c>
      <c r="AI69" s="68">
        <f t="shared" si="7"/>
        <v>0</v>
      </c>
      <c r="AJ69" s="68">
        <f t="shared" si="8"/>
        <v>0</v>
      </c>
    </row>
    <row r="70" spans="1:36" ht="12.75">
      <c r="A70" s="14">
        <v>63</v>
      </c>
      <c r="B70" s="9" t="s">
        <v>137</v>
      </c>
      <c r="C70" s="7" t="s">
        <v>131</v>
      </c>
      <c r="D70" s="7" t="s">
        <v>142</v>
      </c>
      <c r="F70" s="38">
        <v>166.9203450025367</v>
      </c>
      <c r="G70" s="38">
        <f t="shared" si="1"/>
        <v>17</v>
      </c>
      <c r="H70" s="38">
        <f t="shared" si="11"/>
        <v>166.9203450025367</v>
      </c>
      <c r="I70" s="73"/>
      <c r="J70" s="73"/>
      <c r="K70" s="69">
        <v>0</v>
      </c>
      <c r="L70" s="76">
        <v>0</v>
      </c>
      <c r="M70" s="76">
        <v>166.9203450025367</v>
      </c>
      <c r="N70" s="76">
        <v>0</v>
      </c>
      <c r="O70" s="69">
        <v>0</v>
      </c>
      <c r="P70" s="69">
        <v>0</v>
      </c>
      <c r="Q70" s="69">
        <v>0</v>
      </c>
      <c r="R70" s="72">
        <v>0</v>
      </c>
      <c r="S70" s="72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88"/>
      <c r="AC70" s="88"/>
      <c r="AD70" s="116">
        <f t="shared" si="12"/>
        <v>0</v>
      </c>
      <c r="AE70" s="68">
        <f t="shared" si="3"/>
        <v>0</v>
      </c>
      <c r="AF70" s="68">
        <f t="shared" si="4"/>
        <v>0</v>
      </c>
      <c r="AG70" s="68">
        <f t="shared" si="5"/>
        <v>0</v>
      </c>
      <c r="AH70" s="68">
        <f t="shared" si="6"/>
        <v>0</v>
      </c>
      <c r="AI70" s="68">
        <f t="shared" si="7"/>
        <v>0</v>
      </c>
      <c r="AJ70" s="68">
        <f t="shared" si="8"/>
        <v>0</v>
      </c>
    </row>
    <row r="71" spans="1:36" ht="12.75">
      <c r="A71" s="14">
        <v>64</v>
      </c>
      <c r="B71" s="9" t="s">
        <v>77</v>
      </c>
      <c r="C71" s="7" t="s">
        <v>10</v>
      </c>
      <c r="D71" s="7" t="s">
        <v>74</v>
      </c>
      <c r="E71" s="8">
        <v>1980</v>
      </c>
      <c r="F71" s="38">
        <v>4649.954986068087</v>
      </c>
      <c r="G71" s="38">
        <f t="shared" si="1"/>
        <v>17</v>
      </c>
      <c r="H71" s="38">
        <f t="shared" si="11"/>
        <v>4649.954986068087</v>
      </c>
      <c r="I71" s="73"/>
      <c r="J71" s="73"/>
      <c r="K71" s="76">
        <v>872.8789986091791</v>
      </c>
      <c r="L71" s="76">
        <v>571.2177121771218</v>
      </c>
      <c r="M71" s="76">
        <v>708.7064202705278</v>
      </c>
      <c r="N71" s="76">
        <v>779.7574857708489</v>
      </c>
      <c r="O71" s="72">
        <v>0</v>
      </c>
      <c r="P71" s="72">
        <v>0</v>
      </c>
      <c r="Q71" s="72">
        <v>0</v>
      </c>
      <c r="R71" s="76">
        <v>870.860927152318</v>
      </c>
      <c r="S71" s="76">
        <v>846.5334420880914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69">
        <v>0</v>
      </c>
      <c r="AB71" s="88"/>
      <c r="AC71" s="88"/>
      <c r="AD71" s="116">
        <f t="shared" si="12"/>
        <v>0</v>
      </c>
      <c r="AE71" s="68">
        <f t="shared" si="3"/>
        <v>0</v>
      </c>
      <c r="AF71" s="68">
        <f t="shared" si="4"/>
        <v>0</v>
      </c>
      <c r="AG71" s="68">
        <f t="shared" si="5"/>
        <v>0</v>
      </c>
      <c r="AH71" s="68">
        <f t="shared" si="6"/>
        <v>0</v>
      </c>
      <c r="AI71" s="68">
        <f t="shared" si="7"/>
        <v>0</v>
      </c>
      <c r="AJ71" s="68">
        <f t="shared" si="8"/>
        <v>0</v>
      </c>
    </row>
    <row r="72" spans="1:36" ht="12.75">
      <c r="A72" s="14">
        <v>65</v>
      </c>
      <c r="B72" s="9" t="s">
        <v>244</v>
      </c>
      <c r="C72" t="s">
        <v>187</v>
      </c>
      <c r="D72" t="s">
        <v>245</v>
      </c>
      <c r="E72" s="8">
        <v>1994</v>
      </c>
      <c r="F72" s="38">
        <v>2433.7093344696996</v>
      </c>
      <c r="G72" s="38">
        <f t="shared" si="1"/>
        <v>17</v>
      </c>
      <c r="H72" s="38">
        <f aca="true" t="shared" si="13" ref="H72:H103">F72-AD72</f>
        <v>2433.7093344696996</v>
      </c>
      <c r="I72" s="73"/>
      <c r="J72" s="73"/>
      <c r="K72" s="69">
        <v>0</v>
      </c>
      <c r="L72" s="69">
        <v>0</v>
      </c>
      <c r="M72" s="69">
        <v>0</v>
      </c>
      <c r="N72" s="69">
        <v>0</v>
      </c>
      <c r="O72" s="72">
        <v>0</v>
      </c>
      <c r="P72" s="72">
        <v>0</v>
      </c>
      <c r="Q72" s="72">
        <v>0</v>
      </c>
      <c r="R72" s="76">
        <v>0</v>
      </c>
      <c r="S72" s="76">
        <v>951.0603588907015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36">
        <v>723.6355226641995</v>
      </c>
      <c r="Z72" s="36">
        <v>759.0134529147984</v>
      </c>
      <c r="AA72" s="69">
        <v>0</v>
      </c>
      <c r="AB72" s="88"/>
      <c r="AC72" s="88"/>
      <c r="AD72" s="116">
        <f t="shared" si="12"/>
        <v>0</v>
      </c>
      <c r="AE72" s="68">
        <f t="shared" si="3"/>
        <v>0</v>
      </c>
      <c r="AF72" s="68">
        <f t="shared" si="4"/>
        <v>0</v>
      </c>
      <c r="AG72" s="68">
        <f t="shared" si="5"/>
        <v>0</v>
      </c>
      <c r="AH72" s="68">
        <f t="shared" si="6"/>
        <v>0</v>
      </c>
      <c r="AI72" s="68">
        <f t="shared" si="7"/>
        <v>0</v>
      </c>
      <c r="AJ72" s="68">
        <f t="shared" si="8"/>
        <v>0</v>
      </c>
    </row>
    <row r="73" spans="1:36" ht="12.75">
      <c r="A73" s="14">
        <v>66</v>
      </c>
      <c r="B73" s="9" t="s">
        <v>246</v>
      </c>
      <c r="C73" t="s">
        <v>10</v>
      </c>
      <c r="D73" t="s">
        <v>101</v>
      </c>
      <c r="E73" s="8">
        <v>1979</v>
      </c>
      <c r="F73" s="38">
        <v>151.655629139073</v>
      </c>
      <c r="G73" s="38">
        <f aca="true" t="shared" si="14" ref="G73:G136">COUNTA(K73,L73,M73,N73,O73,P73,Q73,R73,S73,T73,U73,V73,W73,X73,Y73,Z73,AA73,AB73,AC73)</f>
        <v>17</v>
      </c>
      <c r="H73" s="38">
        <f t="shared" si="13"/>
        <v>151.655629139073</v>
      </c>
      <c r="I73" s="73"/>
      <c r="J73" s="73"/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76">
        <v>151.655629139073</v>
      </c>
      <c r="S73" s="76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88"/>
      <c r="AC73" s="88"/>
      <c r="AD73" s="116">
        <f aca="true" t="shared" si="15" ref="AD73:AD136">SUM(AE73:AJ73)</f>
        <v>0</v>
      </c>
      <c r="AE73" s="68">
        <f aca="true" t="shared" si="16" ref="AE73:AE136">SMALL(K73:AC73,1)</f>
        <v>0</v>
      </c>
      <c r="AF73" s="68">
        <f aca="true" t="shared" si="17" ref="AF73:AF136">SMALL(K73:AC73,2)</f>
        <v>0</v>
      </c>
      <c r="AG73" s="68">
        <f aca="true" t="shared" si="18" ref="AG73:AG136">SMALL(K73:AC73,3)</f>
        <v>0</v>
      </c>
      <c r="AH73" s="68">
        <f aca="true" t="shared" si="19" ref="AH73:AH136">SMALL(K73:AC73,4)</f>
        <v>0</v>
      </c>
      <c r="AI73" s="68">
        <f aca="true" t="shared" si="20" ref="AI73:AI136">SMALL(K73:AC73,5)</f>
        <v>0</v>
      </c>
      <c r="AJ73" s="68">
        <f aca="true" t="shared" si="21" ref="AJ73:AJ136">SMALL(K73:AC73,6)</f>
        <v>0</v>
      </c>
    </row>
    <row r="74" spans="1:36" ht="12.75">
      <c r="A74" s="14">
        <v>67</v>
      </c>
      <c r="B74" s="29" t="s">
        <v>166</v>
      </c>
      <c r="C74" s="7" t="s">
        <v>170</v>
      </c>
      <c r="D74" s="7" t="s">
        <v>171</v>
      </c>
      <c r="E74" s="8">
        <v>1978</v>
      </c>
      <c r="F74" s="38">
        <v>7952.569968066193</v>
      </c>
      <c r="G74" s="38">
        <f t="shared" si="14"/>
        <v>17</v>
      </c>
      <c r="H74" s="38">
        <f t="shared" si="13"/>
        <v>7952.569968066193</v>
      </c>
      <c r="I74" s="73"/>
      <c r="J74" s="73"/>
      <c r="K74" s="69">
        <v>0</v>
      </c>
      <c r="L74" s="69">
        <v>0</v>
      </c>
      <c r="M74" s="69">
        <v>0</v>
      </c>
      <c r="N74" s="69">
        <v>0</v>
      </c>
      <c r="O74" s="76">
        <v>931.7160826594791</v>
      </c>
      <c r="P74" s="76">
        <v>942.9061428125975</v>
      </c>
      <c r="Q74" s="76">
        <v>1035.0221807144524</v>
      </c>
      <c r="R74" s="76">
        <v>1055.629139072848</v>
      </c>
      <c r="S74" s="76">
        <v>1058.7275693311583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47">
        <v>858.6493987049028</v>
      </c>
      <c r="Z74" s="47">
        <v>1050</v>
      </c>
      <c r="AA74" s="10">
        <v>1019.9194547707561</v>
      </c>
      <c r="AB74" s="88"/>
      <c r="AC74" s="88"/>
      <c r="AD74" s="116">
        <f t="shared" si="15"/>
        <v>0</v>
      </c>
      <c r="AE74" s="68">
        <f t="shared" si="16"/>
        <v>0</v>
      </c>
      <c r="AF74" s="68">
        <f t="shared" si="17"/>
        <v>0</v>
      </c>
      <c r="AG74" s="68">
        <f t="shared" si="18"/>
        <v>0</v>
      </c>
      <c r="AH74" s="68">
        <f t="shared" si="19"/>
        <v>0</v>
      </c>
      <c r="AI74" s="68">
        <f t="shared" si="20"/>
        <v>0</v>
      </c>
      <c r="AJ74" s="68">
        <f t="shared" si="21"/>
        <v>0</v>
      </c>
    </row>
    <row r="75" spans="1:36" ht="12.75">
      <c r="A75" s="14">
        <v>68</v>
      </c>
      <c r="B75" s="9" t="s">
        <v>247</v>
      </c>
      <c r="C75" t="s">
        <v>187</v>
      </c>
      <c r="D75" t="s">
        <v>248</v>
      </c>
      <c r="E75" s="8">
        <v>1996</v>
      </c>
      <c r="F75" s="38">
        <v>4216.904950222861</v>
      </c>
      <c r="G75" s="38">
        <f t="shared" si="14"/>
        <v>17</v>
      </c>
      <c r="H75" s="38">
        <f t="shared" si="13"/>
        <v>4216.904950222861</v>
      </c>
      <c r="I75" s="73"/>
      <c r="J75" s="73"/>
      <c r="K75" s="69">
        <v>0</v>
      </c>
      <c r="L75" s="69">
        <v>0</v>
      </c>
      <c r="M75" s="69">
        <v>0</v>
      </c>
      <c r="N75" s="69">
        <v>0</v>
      </c>
      <c r="O75" s="72">
        <v>0</v>
      </c>
      <c r="P75" s="76">
        <v>800.2182725288434</v>
      </c>
      <c r="Q75" s="75">
        <v>0</v>
      </c>
      <c r="R75" s="76">
        <v>836.4238410596026</v>
      </c>
      <c r="S75" s="76">
        <v>851.9168026101142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36">
        <v>926.6419981498613</v>
      </c>
      <c r="Z75" s="36">
        <v>801.7040358744397</v>
      </c>
      <c r="AA75" s="69">
        <v>0</v>
      </c>
      <c r="AB75" s="88"/>
      <c r="AC75" s="88"/>
      <c r="AD75" s="116">
        <f t="shared" si="15"/>
        <v>0</v>
      </c>
      <c r="AE75" s="68">
        <f t="shared" si="16"/>
        <v>0</v>
      </c>
      <c r="AF75" s="68">
        <f t="shared" si="17"/>
        <v>0</v>
      </c>
      <c r="AG75" s="68">
        <f t="shared" si="18"/>
        <v>0</v>
      </c>
      <c r="AH75" s="68">
        <f t="shared" si="19"/>
        <v>0</v>
      </c>
      <c r="AI75" s="68">
        <f t="shared" si="20"/>
        <v>0</v>
      </c>
      <c r="AJ75" s="68">
        <f t="shared" si="21"/>
        <v>0</v>
      </c>
    </row>
    <row r="76" spans="1:36" ht="12.75">
      <c r="A76" s="14">
        <v>69</v>
      </c>
      <c r="B76" s="29" t="s">
        <v>305</v>
      </c>
      <c r="C76" s="7" t="s">
        <v>95</v>
      </c>
      <c r="F76" s="38">
        <v>1550.1266496262697</v>
      </c>
      <c r="G76" s="38">
        <f t="shared" si="14"/>
        <v>17</v>
      </c>
      <c r="H76" s="38">
        <f t="shared" si="13"/>
        <v>1550.1266496262697</v>
      </c>
      <c r="I76" s="73"/>
      <c r="J76" s="73"/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76">
        <v>0</v>
      </c>
      <c r="U76" s="76">
        <v>477.1573604060915</v>
      </c>
      <c r="V76" s="76">
        <v>480.21769177608854</v>
      </c>
      <c r="W76" s="76">
        <v>592.7515974440895</v>
      </c>
      <c r="X76" s="69">
        <v>0</v>
      </c>
      <c r="Y76" s="69">
        <v>0</v>
      </c>
      <c r="Z76" s="69">
        <v>0</v>
      </c>
      <c r="AA76" s="69">
        <v>0</v>
      </c>
      <c r="AB76" s="88"/>
      <c r="AC76" s="88"/>
      <c r="AD76" s="116">
        <f t="shared" si="15"/>
        <v>0</v>
      </c>
      <c r="AE76" s="68">
        <f t="shared" si="16"/>
        <v>0</v>
      </c>
      <c r="AF76" s="68">
        <f t="shared" si="17"/>
        <v>0</v>
      </c>
      <c r="AG76" s="68">
        <f t="shared" si="18"/>
        <v>0</v>
      </c>
      <c r="AH76" s="68">
        <f t="shared" si="19"/>
        <v>0</v>
      </c>
      <c r="AI76" s="68">
        <f t="shared" si="20"/>
        <v>0</v>
      </c>
      <c r="AJ76" s="68">
        <f t="shared" si="21"/>
        <v>0</v>
      </c>
    </row>
    <row r="77" spans="1:36" ht="12.75">
      <c r="A77" s="14">
        <v>70</v>
      </c>
      <c r="B77" s="9" t="s">
        <v>249</v>
      </c>
      <c r="C77" t="s">
        <v>10</v>
      </c>
      <c r="D77" t="s">
        <v>250</v>
      </c>
      <c r="E77" s="8">
        <v>1984</v>
      </c>
      <c r="F77" s="38">
        <v>20</v>
      </c>
      <c r="G77" s="38">
        <f t="shared" si="14"/>
        <v>17</v>
      </c>
      <c r="H77" s="38">
        <f t="shared" si="13"/>
        <v>20</v>
      </c>
      <c r="I77" s="73"/>
      <c r="J77" s="73"/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76">
        <v>10</v>
      </c>
      <c r="S77" s="76">
        <v>10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88"/>
      <c r="AC77" s="88"/>
      <c r="AD77" s="116">
        <f t="shared" si="15"/>
        <v>0</v>
      </c>
      <c r="AE77" s="68">
        <f t="shared" si="16"/>
        <v>0</v>
      </c>
      <c r="AF77" s="68">
        <f t="shared" si="17"/>
        <v>0</v>
      </c>
      <c r="AG77" s="68">
        <f t="shared" si="18"/>
        <v>0</v>
      </c>
      <c r="AH77" s="68">
        <f t="shared" si="19"/>
        <v>0</v>
      </c>
      <c r="AI77" s="68">
        <f t="shared" si="20"/>
        <v>0</v>
      </c>
      <c r="AJ77" s="68">
        <f t="shared" si="21"/>
        <v>0</v>
      </c>
    </row>
    <row r="78" spans="1:36" ht="12.75">
      <c r="A78" s="14">
        <v>71</v>
      </c>
      <c r="B78" s="29" t="s">
        <v>228</v>
      </c>
      <c r="C78" s="7" t="s">
        <v>10</v>
      </c>
      <c r="D78" s="7" t="s">
        <v>11</v>
      </c>
      <c r="E78" s="8">
        <v>1967</v>
      </c>
      <c r="F78" s="38">
        <v>1718.6341015144926</v>
      </c>
      <c r="G78" s="38">
        <f t="shared" si="14"/>
        <v>17</v>
      </c>
      <c r="H78" s="38">
        <f t="shared" si="13"/>
        <v>1718.6341015144926</v>
      </c>
      <c r="I78" s="73"/>
      <c r="J78" s="73"/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76">
        <v>591.5018315018318</v>
      </c>
      <c r="S78" s="76">
        <v>443.58014646053715</v>
      </c>
      <c r="T78" s="69">
        <v>0</v>
      </c>
      <c r="U78" s="69">
        <v>0</v>
      </c>
      <c r="V78" s="69">
        <v>0</v>
      </c>
      <c r="W78" s="69">
        <v>0</v>
      </c>
      <c r="X78" s="76">
        <v>683.5521235521237</v>
      </c>
      <c r="Y78" s="69">
        <v>0</v>
      </c>
      <c r="Z78" s="69">
        <v>0</v>
      </c>
      <c r="AA78" s="69">
        <v>0</v>
      </c>
      <c r="AB78" s="88"/>
      <c r="AC78" s="88"/>
      <c r="AD78" s="116">
        <f t="shared" si="15"/>
        <v>0</v>
      </c>
      <c r="AE78" s="68">
        <f t="shared" si="16"/>
        <v>0</v>
      </c>
      <c r="AF78" s="68">
        <f t="shared" si="17"/>
        <v>0</v>
      </c>
      <c r="AG78" s="68">
        <f t="shared" si="18"/>
        <v>0</v>
      </c>
      <c r="AH78" s="68">
        <f t="shared" si="19"/>
        <v>0</v>
      </c>
      <c r="AI78" s="68">
        <f t="shared" si="20"/>
        <v>0</v>
      </c>
      <c r="AJ78" s="68">
        <f t="shared" si="21"/>
        <v>0</v>
      </c>
    </row>
    <row r="79" spans="1:36" ht="12.75">
      <c r="A79" s="14">
        <v>72</v>
      </c>
      <c r="B79" s="29" t="s">
        <v>209</v>
      </c>
      <c r="C79" s="7" t="s">
        <v>10</v>
      </c>
      <c r="D79" s="7" t="s">
        <v>69</v>
      </c>
      <c r="E79" s="8">
        <v>2002</v>
      </c>
      <c r="F79" s="38">
        <v>966.3326551373347</v>
      </c>
      <c r="G79" s="38">
        <f t="shared" si="14"/>
        <v>17</v>
      </c>
      <c r="H79" s="38">
        <f t="shared" si="13"/>
        <v>966.3326551373347</v>
      </c>
      <c r="I79" s="73"/>
      <c r="J79" s="73"/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76">
        <v>660</v>
      </c>
      <c r="S79" s="76">
        <v>306.33265513733465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88"/>
      <c r="AC79" s="88"/>
      <c r="AD79" s="116">
        <f t="shared" si="15"/>
        <v>0</v>
      </c>
      <c r="AE79" s="68">
        <f t="shared" si="16"/>
        <v>0</v>
      </c>
      <c r="AF79" s="68">
        <f t="shared" si="17"/>
        <v>0</v>
      </c>
      <c r="AG79" s="68">
        <f t="shared" si="18"/>
        <v>0</v>
      </c>
      <c r="AH79" s="68">
        <f t="shared" si="19"/>
        <v>0</v>
      </c>
      <c r="AI79" s="68">
        <f t="shared" si="20"/>
        <v>0</v>
      </c>
      <c r="AJ79" s="68">
        <f t="shared" si="21"/>
        <v>0</v>
      </c>
    </row>
    <row r="80" spans="1:36" ht="12.75">
      <c r="A80" s="14">
        <v>73</v>
      </c>
      <c r="B80" s="9" t="s">
        <v>118</v>
      </c>
      <c r="C80" s="7" t="s">
        <v>10</v>
      </c>
      <c r="D80" s="7" t="s">
        <v>11</v>
      </c>
      <c r="E80" s="8">
        <v>1985</v>
      </c>
      <c r="F80" s="38">
        <v>10097.852634978766</v>
      </c>
      <c r="G80" s="38">
        <f t="shared" si="14"/>
        <v>17</v>
      </c>
      <c r="H80" s="38">
        <f t="shared" si="13"/>
        <v>9649.55204252476</v>
      </c>
      <c r="I80" s="73"/>
      <c r="J80" s="73"/>
      <c r="K80" s="69">
        <v>0</v>
      </c>
      <c r="L80" s="76">
        <v>0</v>
      </c>
      <c r="M80" s="76">
        <v>916.365021908935</v>
      </c>
      <c r="N80" s="76">
        <v>893.3432318732988</v>
      </c>
      <c r="O80" s="76">
        <v>721.473495058401</v>
      </c>
      <c r="P80" s="76">
        <v>448.3005924540072</v>
      </c>
      <c r="Q80" s="76">
        <v>794.1162736399716</v>
      </c>
      <c r="R80" s="76">
        <v>885.4304635761589</v>
      </c>
      <c r="S80" s="76">
        <v>1034.9510603588906</v>
      </c>
      <c r="T80" s="71">
        <v>0</v>
      </c>
      <c r="U80" s="76">
        <v>886.205485059353</v>
      </c>
      <c r="V80" s="76">
        <v>959.1366906474818</v>
      </c>
      <c r="W80" s="76">
        <v>882.0907617504052</v>
      </c>
      <c r="X80" s="76">
        <v>711.3837965700769</v>
      </c>
      <c r="Y80" s="69">
        <v>0</v>
      </c>
      <c r="Z80" s="69">
        <v>0</v>
      </c>
      <c r="AA80" s="10">
        <v>965.0557620817847</v>
      </c>
      <c r="AB80" s="88"/>
      <c r="AC80" s="88"/>
      <c r="AD80" s="116">
        <f t="shared" si="15"/>
        <v>448.3005924540072</v>
      </c>
      <c r="AE80" s="68">
        <f t="shared" si="16"/>
        <v>0</v>
      </c>
      <c r="AF80" s="68">
        <f t="shared" si="17"/>
        <v>0</v>
      </c>
      <c r="AG80" s="68">
        <f t="shared" si="18"/>
        <v>0</v>
      </c>
      <c r="AH80" s="68">
        <f t="shared" si="19"/>
        <v>0</v>
      </c>
      <c r="AI80" s="68">
        <f t="shared" si="20"/>
        <v>0</v>
      </c>
      <c r="AJ80" s="68">
        <f t="shared" si="21"/>
        <v>448.3005924540072</v>
      </c>
    </row>
    <row r="81" spans="1:36" ht="12.75">
      <c r="A81" s="14">
        <v>74</v>
      </c>
      <c r="B81" s="9" t="s">
        <v>252</v>
      </c>
      <c r="C81" t="s">
        <v>10</v>
      </c>
      <c r="D81" t="s">
        <v>253</v>
      </c>
      <c r="E81" s="8">
        <v>1986</v>
      </c>
      <c r="F81" s="38">
        <v>2023.8780614284333</v>
      </c>
      <c r="G81" s="38">
        <f t="shared" si="14"/>
        <v>17</v>
      </c>
      <c r="H81" s="38">
        <f t="shared" si="13"/>
        <v>2023.8780614284333</v>
      </c>
      <c r="I81" s="73"/>
      <c r="J81" s="73"/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76">
        <v>629.1390728476823</v>
      </c>
      <c r="S81" s="76">
        <v>569.7389885807507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10">
        <v>825</v>
      </c>
      <c r="AB81" s="88"/>
      <c r="AC81" s="88"/>
      <c r="AD81" s="116">
        <f t="shared" si="15"/>
        <v>0</v>
      </c>
      <c r="AE81" s="68">
        <f t="shared" si="16"/>
        <v>0</v>
      </c>
      <c r="AF81" s="68">
        <f t="shared" si="17"/>
        <v>0</v>
      </c>
      <c r="AG81" s="68">
        <f t="shared" si="18"/>
        <v>0</v>
      </c>
      <c r="AH81" s="68">
        <f t="shared" si="19"/>
        <v>0</v>
      </c>
      <c r="AI81" s="68">
        <f t="shared" si="20"/>
        <v>0</v>
      </c>
      <c r="AJ81" s="68">
        <f t="shared" si="21"/>
        <v>0</v>
      </c>
    </row>
    <row r="82" spans="1:36" ht="12.75">
      <c r="A82" s="14">
        <v>75</v>
      </c>
      <c r="B82" s="9" t="s">
        <v>119</v>
      </c>
      <c r="C82" s="7" t="s">
        <v>10</v>
      </c>
      <c r="D82" s="7" t="s">
        <v>49</v>
      </c>
      <c r="E82" s="8">
        <v>1982</v>
      </c>
      <c r="F82" s="38">
        <v>9810.542225772751</v>
      </c>
      <c r="G82" s="38">
        <f t="shared" si="14"/>
        <v>17</v>
      </c>
      <c r="H82" s="38">
        <f t="shared" si="13"/>
        <v>9810.542225772751</v>
      </c>
      <c r="I82" s="73"/>
      <c r="J82" s="73"/>
      <c r="K82" s="69">
        <v>0</v>
      </c>
      <c r="L82" s="76">
        <v>885.6088560885611</v>
      </c>
      <c r="M82" s="76">
        <v>0</v>
      </c>
      <c r="N82" s="72">
        <v>0</v>
      </c>
      <c r="O82" s="76">
        <v>953.2794249775383</v>
      </c>
      <c r="P82" s="76">
        <v>985.4381041471781</v>
      </c>
      <c r="Q82" s="76">
        <v>955.1482605650243</v>
      </c>
      <c r="R82" s="76">
        <v>1059.6026490066226</v>
      </c>
      <c r="S82" s="76">
        <v>1100</v>
      </c>
      <c r="T82" s="71">
        <v>0</v>
      </c>
      <c r="U82" s="76">
        <v>906.0581252558328</v>
      </c>
      <c r="V82" s="71">
        <v>0</v>
      </c>
      <c r="W82" s="71">
        <v>0</v>
      </c>
      <c r="X82" s="76">
        <v>934.0922531046717</v>
      </c>
      <c r="Y82" s="47">
        <v>1000.4625346901015</v>
      </c>
      <c r="Z82" s="76">
        <v>1030.85201793722</v>
      </c>
      <c r="AA82" s="69">
        <v>0</v>
      </c>
      <c r="AB82" s="88"/>
      <c r="AC82" s="88"/>
      <c r="AD82" s="116">
        <f t="shared" si="15"/>
        <v>0</v>
      </c>
      <c r="AE82" s="68">
        <f t="shared" si="16"/>
        <v>0</v>
      </c>
      <c r="AF82" s="68">
        <f t="shared" si="17"/>
        <v>0</v>
      </c>
      <c r="AG82" s="68">
        <f t="shared" si="18"/>
        <v>0</v>
      </c>
      <c r="AH82" s="68">
        <f t="shared" si="19"/>
        <v>0</v>
      </c>
      <c r="AI82" s="68">
        <f t="shared" si="20"/>
        <v>0</v>
      </c>
      <c r="AJ82" s="68">
        <f t="shared" si="21"/>
        <v>0</v>
      </c>
    </row>
    <row r="83" spans="1:36" ht="12.75">
      <c r="A83" s="14">
        <v>76</v>
      </c>
      <c r="B83" s="9" t="s">
        <v>138</v>
      </c>
      <c r="C83" s="7" t="s">
        <v>10</v>
      </c>
      <c r="D83" s="7" t="s">
        <v>49</v>
      </c>
      <c r="E83" s="8">
        <v>1997</v>
      </c>
      <c r="F83" s="38">
        <v>4945.436096847788</v>
      </c>
      <c r="G83" s="38">
        <f t="shared" si="14"/>
        <v>17</v>
      </c>
      <c r="H83" s="38">
        <f t="shared" si="13"/>
        <v>4945.436096847788</v>
      </c>
      <c r="I83" s="73"/>
      <c r="J83" s="73"/>
      <c r="K83" s="69">
        <v>0</v>
      </c>
      <c r="L83" s="76">
        <v>542.5149700598803</v>
      </c>
      <c r="M83" s="76">
        <v>322.2983257229832</v>
      </c>
      <c r="N83" s="76">
        <v>671.8520692691517</v>
      </c>
      <c r="O83" s="69">
        <v>0</v>
      </c>
      <c r="P83" s="69">
        <v>0</v>
      </c>
      <c r="Q83" s="69">
        <v>0</v>
      </c>
      <c r="R83" s="70">
        <v>0</v>
      </c>
      <c r="S83" s="70">
        <v>0</v>
      </c>
      <c r="T83" s="70">
        <v>0</v>
      </c>
      <c r="U83" s="76">
        <v>528.281363306744</v>
      </c>
      <c r="V83" s="70">
        <v>0</v>
      </c>
      <c r="W83" s="70">
        <v>0</v>
      </c>
      <c r="X83" s="76">
        <v>781.1583011583012</v>
      </c>
      <c r="Y83" s="47">
        <v>654.8456790123457</v>
      </c>
      <c r="Z83" s="76">
        <v>727.3755186721991</v>
      </c>
      <c r="AA83" s="10">
        <v>717.1098696461826</v>
      </c>
      <c r="AB83" s="88"/>
      <c r="AC83" s="88"/>
      <c r="AD83" s="116">
        <f t="shared" si="15"/>
        <v>0</v>
      </c>
      <c r="AE83" s="68">
        <f t="shared" si="16"/>
        <v>0</v>
      </c>
      <c r="AF83" s="68">
        <f t="shared" si="17"/>
        <v>0</v>
      </c>
      <c r="AG83" s="68">
        <f t="shared" si="18"/>
        <v>0</v>
      </c>
      <c r="AH83" s="68">
        <f t="shared" si="19"/>
        <v>0</v>
      </c>
      <c r="AI83" s="68">
        <f t="shared" si="20"/>
        <v>0</v>
      </c>
      <c r="AJ83" s="68">
        <f t="shared" si="21"/>
        <v>0</v>
      </c>
    </row>
    <row r="84" spans="1:36" ht="12.75">
      <c r="A84" s="14">
        <v>77</v>
      </c>
      <c r="B84" s="9" t="s">
        <v>146</v>
      </c>
      <c r="C84" s="7" t="s">
        <v>10</v>
      </c>
      <c r="D84" s="7" t="s">
        <v>147</v>
      </c>
      <c r="E84" s="8">
        <v>1967</v>
      </c>
      <c r="F84" s="38">
        <v>1790.8279737959363</v>
      </c>
      <c r="G84" s="38">
        <f t="shared" si="14"/>
        <v>17</v>
      </c>
      <c r="H84" s="38">
        <f t="shared" si="13"/>
        <v>1790.8279737959363</v>
      </c>
      <c r="I84" s="73"/>
      <c r="J84" s="73"/>
      <c r="K84" s="69">
        <v>0</v>
      </c>
      <c r="L84" s="76">
        <v>529.4583883751654</v>
      </c>
      <c r="M84" s="76">
        <v>305.3097345132743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76">
        <v>498.9961389961391</v>
      </c>
      <c r="Y84" s="69">
        <v>0</v>
      </c>
      <c r="Z84" s="69">
        <v>0</v>
      </c>
      <c r="AA84" s="10">
        <v>457.0637119113574</v>
      </c>
      <c r="AB84" s="88"/>
      <c r="AC84" s="88"/>
      <c r="AD84" s="116">
        <f t="shared" si="15"/>
        <v>0</v>
      </c>
      <c r="AE84" s="68">
        <f t="shared" si="16"/>
        <v>0</v>
      </c>
      <c r="AF84" s="68">
        <f t="shared" si="17"/>
        <v>0</v>
      </c>
      <c r="AG84" s="68">
        <f t="shared" si="18"/>
        <v>0</v>
      </c>
      <c r="AH84" s="68">
        <f t="shared" si="19"/>
        <v>0</v>
      </c>
      <c r="AI84" s="68">
        <f t="shared" si="20"/>
        <v>0</v>
      </c>
      <c r="AJ84" s="68">
        <f t="shared" si="21"/>
        <v>0</v>
      </c>
    </row>
    <row r="85" spans="1:36" ht="12.75">
      <c r="A85" s="14">
        <v>78</v>
      </c>
      <c r="B85" s="9" t="s">
        <v>255</v>
      </c>
      <c r="C85" t="s">
        <v>10</v>
      </c>
      <c r="D85" t="s">
        <v>256</v>
      </c>
      <c r="E85" s="8">
        <v>1976</v>
      </c>
      <c r="F85" s="38">
        <v>490.06622516556286</v>
      </c>
      <c r="G85" s="38">
        <f t="shared" si="14"/>
        <v>17</v>
      </c>
      <c r="H85" s="38">
        <f t="shared" si="13"/>
        <v>490.06622516556286</v>
      </c>
      <c r="I85" s="73"/>
      <c r="J85" s="73"/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76">
        <v>490.06622516556286</v>
      </c>
      <c r="S85" s="72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88"/>
      <c r="AC85" s="88"/>
      <c r="AD85" s="116">
        <f t="shared" si="15"/>
        <v>0</v>
      </c>
      <c r="AE85" s="68">
        <f t="shared" si="16"/>
        <v>0</v>
      </c>
      <c r="AF85" s="68">
        <f t="shared" si="17"/>
        <v>0</v>
      </c>
      <c r="AG85" s="68">
        <f t="shared" si="18"/>
        <v>0</v>
      </c>
      <c r="AH85" s="68">
        <f t="shared" si="19"/>
        <v>0</v>
      </c>
      <c r="AI85" s="68">
        <f t="shared" si="20"/>
        <v>0</v>
      </c>
      <c r="AJ85" s="68">
        <f t="shared" si="21"/>
        <v>0</v>
      </c>
    </row>
    <row r="86" spans="1:36" ht="12.75">
      <c r="A86" s="14">
        <v>79</v>
      </c>
      <c r="B86" s="9" t="s">
        <v>79</v>
      </c>
      <c r="C86" s="7" t="s">
        <v>10</v>
      </c>
      <c r="D86" s="7" t="s">
        <v>80</v>
      </c>
      <c r="E86" s="8">
        <v>1969</v>
      </c>
      <c r="F86" s="38">
        <v>7724.304251719179</v>
      </c>
      <c r="G86" s="38">
        <f t="shared" si="14"/>
        <v>17</v>
      </c>
      <c r="H86" s="38">
        <f t="shared" si="13"/>
        <v>7239.181616820791</v>
      </c>
      <c r="I86" s="73"/>
      <c r="J86" s="73"/>
      <c r="K86" s="76">
        <v>614.0664961636828</v>
      </c>
      <c r="L86" s="76">
        <v>500.9247027741084</v>
      </c>
      <c r="M86" s="76">
        <v>561.4159292035398</v>
      </c>
      <c r="N86" s="76">
        <v>681.6075650118204</v>
      </c>
      <c r="O86" s="76">
        <v>10</v>
      </c>
      <c r="P86" s="76">
        <v>542.6515930113053</v>
      </c>
      <c r="Q86" s="76">
        <v>850.3034055727557</v>
      </c>
      <c r="R86" s="76">
        <v>0</v>
      </c>
      <c r="S86" s="76">
        <v>794.4344995931651</v>
      </c>
      <c r="T86" s="76">
        <v>745.6736035049289</v>
      </c>
      <c r="U86" s="76">
        <v>648.9934640522878</v>
      </c>
      <c r="V86" s="76">
        <v>475.12263489838824</v>
      </c>
      <c r="W86" s="76">
        <v>680.2896218825422</v>
      </c>
      <c r="X86" s="70">
        <v>0</v>
      </c>
      <c r="Y86" s="70">
        <v>0</v>
      </c>
      <c r="Z86" s="70">
        <v>0</v>
      </c>
      <c r="AA86" s="10">
        <v>618.8207360506531</v>
      </c>
      <c r="AB86" s="88"/>
      <c r="AC86" s="88"/>
      <c r="AD86" s="116">
        <f t="shared" si="15"/>
        <v>485.12263489838824</v>
      </c>
      <c r="AE86" s="68">
        <f t="shared" si="16"/>
        <v>0</v>
      </c>
      <c r="AF86" s="68">
        <f t="shared" si="17"/>
        <v>0</v>
      </c>
      <c r="AG86" s="68">
        <f t="shared" si="18"/>
        <v>0</v>
      </c>
      <c r="AH86" s="68">
        <f t="shared" si="19"/>
        <v>0</v>
      </c>
      <c r="AI86" s="68">
        <f t="shared" si="20"/>
        <v>10</v>
      </c>
      <c r="AJ86" s="68">
        <f t="shared" si="21"/>
        <v>475.12263489838824</v>
      </c>
    </row>
    <row r="87" spans="1:36" ht="12.75">
      <c r="A87" s="14">
        <v>80</v>
      </c>
      <c r="B87" s="9" t="s">
        <v>328</v>
      </c>
      <c r="F87" s="38">
        <v>566.9331222793827</v>
      </c>
      <c r="G87" s="38">
        <f t="shared" si="14"/>
        <v>17</v>
      </c>
      <c r="H87" s="38">
        <f t="shared" si="13"/>
        <v>566.9331222793827</v>
      </c>
      <c r="I87" s="73"/>
      <c r="J87" s="73"/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10">
        <v>566.9331222793827</v>
      </c>
      <c r="AB87" s="88"/>
      <c r="AC87" s="88"/>
      <c r="AD87" s="116">
        <f t="shared" si="15"/>
        <v>0</v>
      </c>
      <c r="AE87" s="68">
        <f t="shared" si="16"/>
        <v>0</v>
      </c>
      <c r="AF87" s="68">
        <f t="shared" si="17"/>
        <v>0</v>
      </c>
      <c r="AG87" s="68">
        <f t="shared" si="18"/>
        <v>0</v>
      </c>
      <c r="AH87" s="68">
        <f t="shared" si="19"/>
        <v>0</v>
      </c>
      <c r="AI87" s="68">
        <f t="shared" si="20"/>
        <v>0</v>
      </c>
      <c r="AJ87" s="68">
        <f t="shared" si="21"/>
        <v>0</v>
      </c>
    </row>
    <row r="88" spans="1:36" ht="12.75">
      <c r="A88" s="14">
        <v>81</v>
      </c>
      <c r="B88" s="9" t="s">
        <v>148</v>
      </c>
      <c r="C88" s="7" t="s">
        <v>10</v>
      </c>
      <c r="D88" s="7" t="s">
        <v>67</v>
      </c>
      <c r="E88" s="8">
        <v>1970</v>
      </c>
      <c r="F88" s="38">
        <v>6293.889152945848</v>
      </c>
      <c r="G88" s="38">
        <f t="shared" si="14"/>
        <v>17</v>
      </c>
      <c r="H88" s="38">
        <f t="shared" si="13"/>
        <v>6293.889152945848</v>
      </c>
      <c r="I88" s="73"/>
      <c r="J88" s="73"/>
      <c r="K88" s="69">
        <v>0</v>
      </c>
      <c r="L88" s="76">
        <v>574.900924702774</v>
      </c>
      <c r="M88" s="76">
        <v>577.5221238938053</v>
      </c>
      <c r="N88" s="76">
        <v>669.3144208037824</v>
      </c>
      <c r="O88" s="72">
        <v>0</v>
      </c>
      <c r="P88" s="76">
        <v>512.5042822884549</v>
      </c>
      <c r="Q88" s="76">
        <v>708.9040247678018</v>
      </c>
      <c r="R88" s="72">
        <v>0</v>
      </c>
      <c r="S88" s="72">
        <v>0</v>
      </c>
      <c r="T88" s="76">
        <v>565.7539247900694</v>
      </c>
      <c r="U88" s="76">
        <v>617.4117647058823</v>
      </c>
      <c r="V88" s="76">
        <v>675.5430974071478</v>
      </c>
      <c r="W88" s="76">
        <v>789.0587288817377</v>
      </c>
      <c r="X88" s="71">
        <v>0</v>
      </c>
      <c r="Y88" s="71">
        <v>0</v>
      </c>
      <c r="Z88" s="71">
        <v>0</v>
      </c>
      <c r="AA88" s="10">
        <v>602.9758607043926</v>
      </c>
      <c r="AB88" s="88"/>
      <c r="AC88" s="88"/>
      <c r="AD88" s="116">
        <f t="shared" si="15"/>
        <v>0</v>
      </c>
      <c r="AE88" s="68">
        <f t="shared" si="16"/>
        <v>0</v>
      </c>
      <c r="AF88" s="68">
        <f t="shared" si="17"/>
        <v>0</v>
      </c>
      <c r="AG88" s="68">
        <f t="shared" si="18"/>
        <v>0</v>
      </c>
      <c r="AH88" s="68">
        <f t="shared" si="19"/>
        <v>0</v>
      </c>
      <c r="AI88" s="68">
        <f t="shared" si="20"/>
        <v>0</v>
      </c>
      <c r="AJ88" s="68">
        <f t="shared" si="21"/>
        <v>0</v>
      </c>
    </row>
    <row r="89" spans="1:36" ht="12.75">
      <c r="A89" s="14">
        <v>82</v>
      </c>
      <c r="B89" s="9" t="s">
        <v>81</v>
      </c>
      <c r="C89" s="7" t="s">
        <v>10</v>
      </c>
      <c r="D89" s="7" t="s">
        <v>11</v>
      </c>
      <c r="E89" s="8">
        <v>1962</v>
      </c>
      <c r="F89" s="38">
        <v>133.24808184143234</v>
      </c>
      <c r="G89" s="38">
        <f t="shared" si="14"/>
        <v>17</v>
      </c>
      <c r="H89" s="38">
        <f t="shared" si="13"/>
        <v>133.24808184143234</v>
      </c>
      <c r="I89" s="73"/>
      <c r="J89" s="73"/>
      <c r="K89" s="76">
        <v>133.24808184143234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72">
        <v>0</v>
      </c>
      <c r="S89" s="72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88"/>
      <c r="AC89" s="88"/>
      <c r="AD89" s="116">
        <f t="shared" si="15"/>
        <v>0</v>
      </c>
      <c r="AE89" s="68">
        <f t="shared" si="16"/>
        <v>0</v>
      </c>
      <c r="AF89" s="68">
        <f t="shared" si="17"/>
        <v>0</v>
      </c>
      <c r="AG89" s="68">
        <f t="shared" si="18"/>
        <v>0</v>
      </c>
      <c r="AH89" s="68">
        <f t="shared" si="19"/>
        <v>0</v>
      </c>
      <c r="AI89" s="68">
        <f t="shared" si="20"/>
        <v>0</v>
      </c>
      <c r="AJ89" s="68">
        <f t="shared" si="21"/>
        <v>0</v>
      </c>
    </row>
    <row r="90" spans="1:36" ht="12.75">
      <c r="A90" s="14">
        <v>83</v>
      </c>
      <c r="B90" s="29" t="s">
        <v>327</v>
      </c>
      <c r="F90" s="38">
        <v>596.3593193510092</v>
      </c>
      <c r="G90" s="38">
        <f t="shared" si="14"/>
        <v>17</v>
      </c>
      <c r="H90" s="38">
        <f t="shared" si="13"/>
        <v>596.3593193510092</v>
      </c>
      <c r="I90" s="73"/>
      <c r="J90" s="73"/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10">
        <v>596.3593193510092</v>
      </c>
      <c r="AB90" s="88"/>
      <c r="AC90" s="88"/>
      <c r="AD90" s="116">
        <f t="shared" si="15"/>
        <v>0</v>
      </c>
      <c r="AE90" s="68">
        <f t="shared" si="16"/>
        <v>0</v>
      </c>
      <c r="AF90" s="68">
        <f t="shared" si="17"/>
        <v>0</v>
      </c>
      <c r="AG90" s="68">
        <f t="shared" si="18"/>
        <v>0</v>
      </c>
      <c r="AH90" s="68">
        <f t="shared" si="19"/>
        <v>0</v>
      </c>
      <c r="AI90" s="68">
        <f t="shared" si="20"/>
        <v>0</v>
      </c>
      <c r="AJ90" s="68">
        <f t="shared" si="21"/>
        <v>0</v>
      </c>
    </row>
    <row r="91" spans="1:36" ht="12.75">
      <c r="A91" s="14">
        <v>84</v>
      </c>
      <c r="B91" s="29" t="s">
        <v>332</v>
      </c>
      <c r="F91" s="38">
        <v>907.2955390334577</v>
      </c>
      <c r="G91" s="38">
        <f t="shared" si="14"/>
        <v>17</v>
      </c>
      <c r="H91" s="38">
        <f t="shared" si="13"/>
        <v>907.2955390334577</v>
      </c>
      <c r="I91" s="73"/>
      <c r="J91" s="73"/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10">
        <v>907.2955390334577</v>
      </c>
      <c r="AB91" s="88"/>
      <c r="AC91" s="88"/>
      <c r="AD91" s="116">
        <f t="shared" si="15"/>
        <v>0</v>
      </c>
      <c r="AE91" s="68">
        <f t="shared" si="16"/>
        <v>0</v>
      </c>
      <c r="AF91" s="68">
        <f t="shared" si="17"/>
        <v>0</v>
      </c>
      <c r="AG91" s="68">
        <f t="shared" si="18"/>
        <v>0</v>
      </c>
      <c r="AH91" s="68">
        <f t="shared" si="19"/>
        <v>0</v>
      </c>
      <c r="AI91" s="68">
        <f t="shared" si="20"/>
        <v>0</v>
      </c>
      <c r="AJ91" s="68">
        <f t="shared" si="21"/>
        <v>0</v>
      </c>
    </row>
    <row r="92" spans="1:36" ht="12.75">
      <c r="A92" s="14">
        <v>85</v>
      </c>
      <c r="B92" s="29" t="s">
        <v>300</v>
      </c>
      <c r="C92" s="7" t="s">
        <v>95</v>
      </c>
      <c r="D92" s="7" t="s">
        <v>302</v>
      </c>
      <c r="F92" s="38">
        <v>3891.201664771584</v>
      </c>
      <c r="G92" s="38">
        <f t="shared" si="14"/>
        <v>17</v>
      </c>
      <c r="H92" s="38">
        <f t="shared" si="13"/>
        <v>3891.201664771584</v>
      </c>
      <c r="I92" s="73"/>
      <c r="J92" s="73"/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76">
        <v>513.7126483831354</v>
      </c>
      <c r="V92" s="76">
        <v>501.2949640287767</v>
      </c>
      <c r="W92" s="76">
        <v>646.6774716369532</v>
      </c>
      <c r="X92" s="69">
        <v>0</v>
      </c>
      <c r="Y92" s="76">
        <v>822.7104532839959</v>
      </c>
      <c r="Z92" s="36">
        <v>769.0582959641256</v>
      </c>
      <c r="AA92" s="10">
        <v>637.7478314745972</v>
      </c>
      <c r="AB92" s="88"/>
      <c r="AC92" s="88"/>
      <c r="AD92" s="116">
        <f t="shared" si="15"/>
        <v>0</v>
      </c>
      <c r="AE92" s="68">
        <f t="shared" si="16"/>
        <v>0</v>
      </c>
      <c r="AF92" s="68">
        <f t="shared" si="17"/>
        <v>0</v>
      </c>
      <c r="AG92" s="68">
        <f t="shared" si="18"/>
        <v>0</v>
      </c>
      <c r="AH92" s="68">
        <f t="shared" si="19"/>
        <v>0</v>
      </c>
      <c r="AI92" s="68">
        <f t="shared" si="20"/>
        <v>0</v>
      </c>
      <c r="AJ92" s="68">
        <f t="shared" si="21"/>
        <v>0</v>
      </c>
    </row>
    <row r="93" spans="1:36" ht="12.75">
      <c r="A93" s="14">
        <v>86</v>
      </c>
      <c r="B93" s="9" t="s">
        <v>257</v>
      </c>
      <c r="C93" t="s">
        <v>10</v>
      </c>
      <c r="D93" t="s">
        <v>101</v>
      </c>
      <c r="E93" s="8">
        <v>1978</v>
      </c>
      <c r="F93" s="38">
        <v>36.423841059602594</v>
      </c>
      <c r="G93" s="38">
        <f t="shared" si="14"/>
        <v>17</v>
      </c>
      <c r="H93" s="38">
        <f t="shared" si="13"/>
        <v>36.423841059602594</v>
      </c>
      <c r="I93" s="73"/>
      <c r="J93" s="73"/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76">
        <v>36.423841059602594</v>
      </c>
      <c r="S93" s="76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88"/>
      <c r="AC93" s="88"/>
      <c r="AD93" s="116">
        <f t="shared" si="15"/>
        <v>0</v>
      </c>
      <c r="AE93" s="68">
        <f t="shared" si="16"/>
        <v>0</v>
      </c>
      <c r="AF93" s="68">
        <f t="shared" si="17"/>
        <v>0</v>
      </c>
      <c r="AG93" s="68">
        <f t="shared" si="18"/>
        <v>0</v>
      </c>
      <c r="AH93" s="68">
        <f t="shared" si="19"/>
        <v>0</v>
      </c>
      <c r="AI93" s="68">
        <f t="shared" si="20"/>
        <v>0</v>
      </c>
      <c r="AJ93" s="68">
        <f t="shared" si="21"/>
        <v>0</v>
      </c>
    </row>
    <row r="94" spans="1:36" ht="12.75">
      <c r="A94" s="14">
        <v>87</v>
      </c>
      <c r="B94" s="9" t="s">
        <v>258</v>
      </c>
      <c r="C94" t="s">
        <v>10</v>
      </c>
      <c r="D94" t="s">
        <v>195</v>
      </c>
      <c r="E94" s="8">
        <v>1984</v>
      </c>
      <c r="F94" s="38">
        <v>20</v>
      </c>
      <c r="G94" s="38">
        <f t="shared" si="14"/>
        <v>17</v>
      </c>
      <c r="H94" s="38">
        <f t="shared" si="13"/>
        <v>20</v>
      </c>
      <c r="I94" s="73"/>
      <c r="J94" s="73"/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76">
        <v>10</v>
      </c>
      <c r="S94" s="76">
        <v>10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88"/>
      <c r="AC94" s="88"/>
      <c r="AD94" s="116">
        <f t="shared" si="15"/>
        <v>0</v>
      </c>
      <c r="AE94" s="68">
        <f t="shared" si="16"/>
        <v>0</v>
      </c>
      <c r="AF94" s="68">
        <f t="shared" si="17"/>
        <v>0</v>
      </c>
      <c r="AG94" s="68">
        <f t="shared" si="18"/>
        <v>0</v>
      </c>
      <c r="AH94" s="68">
        <f t="shared" si="19"/>
        <v>0</v>
      </c>
      <c r="AI94" s="68">
        <f t="shared" si="20"/>
        <v>0</v>
      </c>
      <c r="AJ94" s="68">
        <f t="shared" si="21"/>
        <v>0</v>
      </c>
    </row>
    <row r="95" spans="1:36" ht="12.75">
      <c r="A95" s="14">
        <v>88</v>
      </c>
      <c r="B95" s="9" t="s">
        <v>259</v>
      </c>
      <c r="C95" t="s">
        <v>187</v>
      </c>
      <c r="D95" t="s">
        <v>260</v>
      </c>
      <c r="E95" s="8">
        <v>1973</v>
      </c>
      <c r="F95" s="38">
        <v>5189.813188760444</v>
      </c>
      <c r="G95" s="38">
        <f t="shared" si="14"/>
        <v>17</v>
      </c>
      <c r="H95" s="38">
        <f t="shared" si="13"/>
        <v>5189.813188760444</v>
      </c>
      <c r="I95" s="73"/>
      <c r="J95" s="73"/>
      <c r="K95" s="69">
        <v>0</v>
      </c>
      <c r="L95" s="69">
        <v>0</v>
      </c>
      <c r="M95" s="69">
        <v>0</v>
      </c>
      <c r="N95" s="69">
        <v>0</v>
      </c>
      <c r="O95" s="72">
        <v>0</v>
      </c>
      <c r="P95" s="72">
        <v>0</v>
      </c>
      <c r="Q95" s="72">
        <v>0</v>
      </c>
      <c r="R95" s="69">
        <v>0</v>
      </c>
      <c r="S95" s="76">
        <v>857.3001631321373</v>
      </c>
      <c r="T95" s="70">
        <v>0</v>
      </c>
      <c r="U95" s="76">
        <v>0</v>
      </c>
      <c r="V95" s="76">
        <v>801.1510791366907</v>
      </c>
      <c r="W95" s="76">
        <v>817.2609400324149</v>
      </c>
      <c r="X95" s="69">
        <v>0</v>
      </c>
      <c r="Y95" s="76">
        <v>960.6382978723403</v>
      </c>
      <c r="Z95" s="36">
        <v>974.9775784753365</v>
      </c>
      <c r="AA95" s="10">
        <v>778.4851301115244</v>
      </c>
      <c r="AB95" s="88"/>
      <c r="AC95" s="88"/>
      <c r="AD95" s="116">
        <f t="shared" si="15"/>
        <v>0</v>
      </c>
      <c r="AE95" s="68">
        <f t="shared" si="16"/>
        <v>0</v>
      </c>
      <c r="AF95" s="68">
        <f t="shared" si="17"/>
        <v>0</v>
      </c>
      <c r="AG95" s="68">
        <f t="shared" si="18"/>
        <v>0</v>
      </c>
      <c r="AH95" s="68">
        <f t="shared" si="19"/>
        <v>0</v>
      </c>
      <c r="AI95" s="68">
        <f t="shared" si="20"/>
        <v>0</v>
      </c>
      <c r="AJ95" s="68">
        <f t="shared" si="21"/>
        <v>0</v>
      </c>
    </row>
    <row r="96" spans="1:36" ht="12.75">
      <c r="A96" s="14">
        <v>89</v>
      </c>
      <c r="B96" s="29" t="s">
        <v>282</v>
      </c>
      <c r="C96" s="7" t="s">
        <v>10</v>
      </c>
      <c r="D96" s="7" t="s">
        <v>69</v>
      </c>
      <c r="E96" s="8">
        <v>1997</v>
      </c>
      <c r="F96" s="38">
        <v>186.09271523178828</v>
      </c>
      <c r="G96" s="38">
        <f t="shared" si="14"/>
        <v>17</v>
      </c>
      <c r="H96" s="38">
        <f t="shared" si="13"/>
        <v>186.09271523178828</v>
      </c>
      <c r="I96" s="73"/>
      <c r="J96" s="73"/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76">
        <v>186.09271523178828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88"/>
      <c r="AC96" s="88"/>
      <c r="AD96" s="116">
        <f t="shared" si="15"/>
        <v>0</v>
      </c>
      <c r="AE96" s="68">
        <f t="shared" si="16"/>
        <v>0</v>
      </c>
      <c r="AF96" s="68">
        <f t="shared" si="17"/>
        <v>0</v>
      </c>
      <c r="AG96" s="68">
        <f t="shared" si="18"/>
        <v>0</v>
      </c>
      <c r="AH96" s="68">
        <f t="shared" si="19"/>
        <v>0</v>
      </c>
      <c r="AI96" s="68">
        <f t="shared" si="20"/>
        <v>0</v>
      </c>
      <c r="AJ96" s="68">
        <f t="shared" si="21"/>
        <v>0</v>
      </c>
    </row>
    <row r="97" spans="1:36" ht="12.75">
      <c r="A97" s="14">
        <v>90</v>
      </c>
      <c r="B97" s="29" t="s">
        <v>210</v>
      </c>
      <c r="C97" s="7" t="s">
        <v>10</v>
      </c>
      <c r="D97" s="7" t="s">
        <v>69</v>
      </c>
      <c r="E97" s="8">
        <v>2002</v>
      </c>
      <c r="F97" s="38">
        <v>615.1848133169822</v>
      </c>
      <c r="G97" s="38">
        <f t="shared" si="14"/>
        <v>17</v>
      </c>
      <c r="H97" s="38">
        <f t="shared" si="13"/>
        <v>615.1848133169822</v>
      </c>
      <c r="I97" s="73"/>
      <c r="J97" s="73"/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76">
        <v>141.83791606367592</v>
      </c>
      <c r="S97" s="76">
        <v>473.3468972533063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88"/>
      <c r="AC97" s="88"/>
      <c r="AD97" s="116">
        <f t="shared" si="15"/>
        <v>0</v>
      </c>
      <c r="AE97" s="68">
        <f t="shared" si="16"/>
        <v>0</v>
      </c>
      <c r="AF97" s="68">
        <f t="shared" si="17"/>
        <v>0</v>
      </c>
      <c r="AG97" s="68">
        <f t="shared" si="18"/>
        <v>0</v>
      </c>
      <c r="AH97" s="68">
        <f t="shared" si="19"/>
        <v>0</v>
      </c>
      <c r="AI97" s="68">
        <f t="shared" si="20"/>
        <v>0</v>
      </c>
      <c r="AJ97" s="68">
        <f t="shared" si="21"/>
        <v>0</v>
      </c>
    </row>
    <row r="98" spans="1:36" ht="12.75">
      <c r="A98" s="14">
        <v>91</v>
      </c>
      <c r="B98" s="29" t="s">
        <v>217</v>
      </c>
      <c r="C98" s="7" t="s">
        <v>10</v>
      </c>
      <c r="D98" s="7" t="s">
        <v>69</v>
      </c>
      <c r="E98" s="8">
        <v>2000</v>
      </c>
      <c r="F98" s="38">
        <v>1183.4555907949361</v>
      </c>
      <c r="G98" s="38">
        <f t="shared" si="14"/>
        <v>17</v>
      </c>
      <c r="H98" s="38">
        <f t="shared" si="13"/>
        <v>1183.4555907949361</v>
      </c>
      <c r="I98" s="73"/>
      <c r="J98" s="73"/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76">
        <v>752.1291624621598</v>
      </c>
      <c r="S98" s="76">
        <v>431.32642833277646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88"/>
      <c r="AC98" s="88"/>
      <c r="AD98" s="116">
        <f t="shared" si="15"/>
        <v>0</v>
      </c>
      <c r="AE98" s="68">
        <f t="shared" si="16"/>
        <v>0</v>
      </c>
      <c r="AF98" s="68">
        <f t="shared" si="17"/>
        <v>0</v>
      </c>
      <c r="AG98" s="68">
        <f t="shared" si="18"/>
        <v>0</v>
      </c>
      <c r="AH98" s="68">
        <f t="shared" si="19"/>
        <v>0</v>
      </c>
      <c r="AI98" s="68">
        <f t="shared" si="20"/>
        <v>0</v>
      </c>
      <c r="AJ98" s="68">
        <f t="shared" si="21"/>
        <v>0</v>
      </c>
    </row>
    <row r="99" spans="1:36" ht="12.75">
      <c r="A99" s="14">
        <v>92</v>
      </c>
      <c r="B99" s="9" t="s">
        <v>261</v>
      </c>
      <c r="C99" t="s">
        <v>10</v>
      </c>
      <c r="D99" t="s">
        <v>163</v>
      </c>
      <c r="E99" s="8">
        <v>1984</v>
      </c>
      <c r="F99" s="38">
        <v>1141.010987111481</v>
      </c>
      <c r="G99" s="38">
        <f t="shared" si="14"/>
        <v>17</v>
      </c>
      <c r="H99" s="38">
        <f t="shared" si="13"/>
        <v>1141.010987111481</v>
      </c>
      <c r="I99" s="73"/>
      <c r="J99" s="73"/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76">
        <v>837.7483443708611</v>
      </c>
      <c r="S99" s="76">
        <v>303.2626427406198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88"/>
      <c r="AC99" s="88"/>
      <c r="AD99" s="116">
        <f t="shared" si="15"/>
        <v>0</v>
      </c>
      <c r="AE99" s="68">
        <f t="shared" si="16"/>
        <v>0</v>
      </c>
      <c r="AF99" s="68">
        <f t="shared" si="17"/>
        <v>0</v>
      </c>
      <c r="AG99" s="68">
        <f t="shared" si="18"/>
        <v>0</v>
      </c>
      <c r="AH99" s="68">
        <f t="shared" si="19"/>
        <v>0</v>
      </c>
      <c r="AI99" s="68">
        <f t="shared" si="20"/>
        <v>0</v>
      </c>
      <c r="AJ99" s="68">
        <f t="shared" si="21"/>
        <v>0</v>
      </c>
    </row>
    <row r="100" spans="1:36" ht="12.75">
      <c r="A100" s="14">
        <v>93</v>
      </c>
      <c r="B100" s="9" t="s">
        <v>325</v>
      </c>
      <c r="C100"/>
      <c r="D100"/>
      <c r="F100" s="38">
        <v>749.236248516027</v>
      </c>
      <c r="G100" s="38">
        <f t="shared" si="14"/>
        <v>17</v>
      </c>
      <c r="H100" s="38">
        <f t="shared" si="13"/>
        <v>749.236248516027</v>
      </c>
      <c r="I100" s="73"/>
      <c r="J100" s="73"/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10">
        <v>749.236248516027</v>
      </c>
      <c r="AB100" s="88"/>
      <c r="AC100" s="88"/>
      <c r="AD100" s="116">
        <f t="shared" si="15"/>
        <v>0</v>
      </c>
      <c r="AE100" s="68">
        <f t="shared" si="16"/>
        <v>0</v>
      </c>
      <c r="AF100" s="68">
        <f t="shared" si="17"/>
        <v>0</v>
      </c>
      <c r="AG100" s="68">
        <f t="shared" si="18"/>
        <v>0</v>
      </c>
      <c r="AH100" s="68">
        <f t="shared" si="19"/>
        <v>0</v>
      </c>
      <c r="AI100" s="68">
        <f t="shared" si="20"/>
        <v>0</v>
      </c>
      <c r="AJ100" s="68">
        <f t="shared" si="21"/>
        <v>0</v>
      </c>
    </row>
    <row r="101" spans="1:36" ht="12.75">
      <c r="A101" s="14">
        <v>94</v>
      </c>
      <c r="B101" s="9" t="s">
        <v>262</v>
      </c>
      <c r="C101" t="s">
        <v>10</v>
      </c>
      <c r="D101" t="s">
        <v>250</v>
      </c>
      <c r="E101" s="8">
        <v>1992</v>
      </c>
      <c r="F101" s="38">
        <v>451.88417618270796</v>
      </c>
      <c r="G101" s="38">
        <f t="shared" si="14"/>
        <v>17</v>
      </c>
      <c r="H101" s="38">
        <f t="shared" si="13"/>
        <v>451.88417618270796</v>
      </c>
      <c r="I101" s="73"/>
      <c r="J101" s="73"/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76">
        <v>10</v>
      </c>
      <c r="S101" s="76">
        <v>441.88417618270796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88"/>
      <c r="AC101" s="88"/>
      <c r="AD101" s="116">
        <f t="shared" si="15"/>
        <v>0</v>
      </c>
      <c r="AE101" s="68">
        <f t="shared" si="16"/>
        <v>0</v>
      </c>
      <c r="AF101" s="68">
        <f t="shared" si="17"/>
        <v>0</v>
      </c>
      <c r="AG101" s="68">
        <f t="shared" si="18"/>
        <v>0</v>
      </c>
      <c r="AH101" s="68">
        <f t="shared" si="19"/>
        <v>0</v>
      </c>
      <c r="AI101" s="68">
        <f t="shared" si="20"/>
        <v>0</v>
      </c>
      <c r="AJ101" s="68">
        <f t="shared" si="21"/>
        <v>0</v>
      </c>
    </row>
    <row r="102" spans="1:36" ht="12.75">
      <c r="A102" s="14">
        <v>95</v>
      </c>
      <c r="B102" s="9" t="s">
        <v>48</v>
      </c>
      <c r="C102" s="7" t="s">
        <v>10</v>
      </c>
      <c r="D102" s="7" t="s">
        <v>49</v>
      </c>
      <c r="E102" s="8">
        <v>1988</v>
      </c>
      <c r="F102" s="38">
        <v>747.5895168248489</v>
      </c>
      <c r="G102" s="38">
        <f t="shared" si="14"/>
        <v>17</v>
      </c>
      <c r="H102" s="38">
        <f t="shared" si="13"/>
        <v>747.5895168248489</v>
      </c>
      <c r="I102" s="73"/>
      <c r="J102" s="73"/>
      <c r="K102" s="76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10">
        <v>747.5895168248489</v>
      </c>
      <c r="AB102" s="88"/>
      <c r="AC102" s="88"/>
      <c r="AD102" s="116">
        <f t="shared" si="15"/>
        <v>0</v>
      </c>
      <c r="AE102" s="68">
        <f t="shared" si="16"/>
        <v>0</v>
      </c>
      <c r="AF102" s="68">
        <f t="shared" si="17"/>
        <v>0</v>
      </c>
      <c r="AG102" s="68">
        <f t="shared" si="18"/>
        <v>0</v>
      </c>
      <c r="AH102" s="68">
        <f t="shared" si="19"/>
        <v>0</v>
      </c>
      <c r="AI102" s="68">
        <f t="shared" si="20"/>
        <v>0</v>
      </c>
      <c r="AJ102" s="68">
        <f t="shared" si="21"/>
        <v>0</v>
      </c>
    </row>
    <row r="103" spans="1:36" ht="12.75">
      <c r="A103" s="14">
        <v>96</v>
      </c>
      <c r="B103" s="29" t="s">
        <v>211</v>
      </c>
      <c r="C103" s="7" t="s">
        <v>10</v>
      </c>
      <c r="D103" s="7" t="s">
        <v>192</v>
      </c>
      <c r="E103" s="8">
        <v>2003</v>
      </c>
      <c r="F103" s="38">
        <v>332.5507211598625</v>
      </c>
      <c r="G103" s="38">
        <f t="shared" si="14"/>
        <v>17</v>
      </c>
      <c r="H103" s="38">
        <f t="shared" si="13"/>
        <v>332.5507211598625</v>
      </c>
      <c r="I103" s="73"/>
      <c r="J103" s="73"/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76">
        <v>58.7409551374821</v>
      </c>
      <c r="S103" s="76">
        <v>263.8097660223804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10">
        <v>10</v>
      </c>
      <c r="AB103" s="88"/>
      <c r="AC103" s="88"/>
      <c r="AD103" s="116">
        <f t="shared" si="15"/>
        <v>0</v>
      </c>
      <c r="AE103" s="68">
        <f t="shared" si="16"/>
        <v>0</v>
      </c>
      <c r="AF103" s="68">
        <f t="shared" si="17"/>
        <v>0</v>
      </c>
      <c r="AG103" s="68">
        <f t="shared" si="18"/>
        <v>0</v>
      </c>
      <c r="AH103" s="68">
        <f t="shared" si="19"/>
        <v>0</v>
      </c>
      <c r="AI103" s="68">
        <f t="shared" si="20"/>
        <v>0</v>
      </c>
      <c r="AJ103" s="68">
        <f t="shared" si="21"/>
        <v>0</v>
      </c>
    </row>
    <row r="104" spans="1:36" ht="12.75">
      <c r="A104" s="14">
        <v>97</v>
      </c>
      <c r="B104" s="29" t="s">
        <v>294</v>
      </c>
      <c r="C104" s="7" t="s">
        <v>10</v>
      </c>
      <c r="D104" s="7" t="s">
        <v>295</v>
      </c>
      <c r="F104" s="38">
        <v>551.6106054610214</v>
      </c>
      <c r="G104" s="38">
        <f t="shared" si="14"/>
        <v>17</v>
      </c>
      <c r="H104" s="38">
        <f aca="true" t="shared" si="22" ref="H104:H135">F104-AD104</f>
        <v>551.6106054610214</v>
      </c>
      <c r="I104" s="73"/>
      <c r="J104" s="73"/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76">
        <v>0</v>
      </c>
      <c r="V104" s="69">
        <v>0</v>
      </c>
      <c r="W104" s="69">
        <v>0</v>
      </c>
      <c r="X104" s="76">
        <v>0</v>
      </c>
      <c r="Y104" s="72">
        <v>0</v>
      </c>
      <c r="Z104" s="72">
        <v>0</v>
      </c>
      <c r="AA104" s="10">
        <v>551.6106054610214</v>
      </c>
      <c r="AB104" s="88"/>
      <c r="AC104" s="88"/>
      <c r="AD104" s="116">
        <f t="shared" si="15"/>
        <v>0</v>
      </c>
      <c r="AE104" s="68">
        <f t="shared" si="16"/>
        <v>0</v>
      </c>
      <c r="AF104" s="68">
        <f t="shared" si="17"/>
        <v>0</v>
      </c>
      <c r="AG104" s="68">
        <f t="shared" si="18"/>
        <v>0</v>
      </c>
      <c r="AH104" s="68">
        <f t="shared" si="19"/>
        <v>0</v>
      </c>
      <c r="AI104" s="68">
        <f t="shared" si="20"/>
        <v>0</v>
      </c>
      <c r="AJ104" s="68">
        <f t="shared" si="21"/>
        <v>0</v>
      </c>
    </row>
    <row r="105" spans="1:36" ht="12.75">
      <c r="A105" s="14">
        <v>98</v>
      </c>
      <c r="B105" s="9" t="s">
        <v>263</v>
      </c>
      <c r="C105" t="s">
        <v>10</v>
      </c>
      <c r="D105" t="s">
        <v>49</v>
      </c>
      <c r="E105" s="8">
        <v>1986</v>
      </c>
      <c r="F105" s="38">
        <v>20</v>
      </c>
      <c r="G105" s="38">
        <f t="shared" si="14"/>
        <v>17</v>
      </c>
      <c r="H105" s="38">
        <f t="shared" si="22"/>
        <v>20</v>
      </c>
      <c r="I105" s="73"/>
      <c r="J105" s="73"/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76">
        <v>10</v>
      </c>
      <c r="S105" s="76">
        <v>10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88"/>
      <c r="AC105" s="88"/>
      <c r="AD105" s="116">
        <f t="shared" si="15"/>
        <v>0</v>
      </c>
      <c r="AE105" s="68">
        <f t="shared" si="16"/>
        <v>0</v>
      </c>
      <c r="AF105" s="68">
        <f t="shared" si="17"/>
        <v>0</v>
      </c>
      <c r="AG105" s="68">
        <f t="shared" si="18"/>
        <v>0</v>
      </c>
      <c r="AH105" s="68">
        <f t="shared" si="19"/>
        <v>0</v>
      </c>
      <c r="AI105" s="68">
        <f t="shared" si="20"/>
        <v>0</v>
      </c>
      <c r="AJ105" s="68">
        <f t="shared" si="21"/>
        <v>0</v>
      </c>
    </row>
    <row r="106" spans="1:36" ht="12.75">
      <c r="A106" s="14">
        <v>99</v>
      </c>
      <c r="B106" s="9" t="s">
        <v>321</v>
      </c>
      <c r="C106"/>
      <c r="D106"/>
      <c r="F106" s="38">
        <v>10</v>
      </c>
      <c r="G106" s="38">
        <f t="shared" si="14"/>
        <v>17</v>
      </c>
      <c r="H106" s="38">
        <f t="shared" si="22"/>
        <v>10</v>
      </c>
      <c r="I106" s="73"/>
      <c r="J106" s="73"/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10">
        <v>10</v>
      </c>
      <c r="AB106" s="88"/>
      <c r="AC106" s="88"/>
      <c r="AD106" s="116">
        <f t="shared" si="15"/>
        <v>0</v>
      </c>
      <c r="AE106" s="68">
        <f t="shared" si="16"/>
        <v>0</v>
      </c>
      <c r="AF106" s="68">
        <f t="shared" si="17"/>
        <v>0</v>
      </c>
      <c r="AG106" s="68">
        <f t="shared" si="18"/>
        <v>0</v>
      </c>
      <c r="AH106" s="68">
        <f t="shared" si="19"/>
        <v>0</v>
      </c>
      <c r="AI106" s="68">
        <f t="shared" si="20"/>
        <v>0</v>
      </c>
      <c r="AJ106" s="68">
        <f t="shared" si="21"/>
        <v>0</v>
      </c>
    </row>
    <row r="107" spans="1:36" ht="12.75">
      <c r="A107" s="14">
        <v>100</v>
      </c>
      <c r="B107" s="9" t="s">
        <v>54</v>
      </c>
      <c r="C107" s="7" t="s">
        <v>10</v>
      </c>
      <c r="D107" s="7" t="s">
        <v>55</v>
      </c>
      <c r="E107" s="8">
        <v>1994</v>
      </c>
      <c r="F107" s="38">
        <v>11180.41826768704</v>
      </c>
      <c r="G107" s="38">
        <f t="shared" si="14"/>
        <v>17</v>
      </c>
      <c r="H107" s="38">
        <f t="shared" si="22"/>
        <v>9076.744078636042</v>
      </c>
      <c r="I107" s="73"/>
      <c r="J107" s="73"/>
      <c r="K107" s="76">
        <v>869.2628650904032</v>
      </c>
      <c r="L107" s="76">
        <v>804.428044280443</v>
      </c>
      <c r="M107" s="76">
        <v>750.238140598209</v>
      </c>
      <c r="N107" s="76">
        <v>0</v>
      </c>
      <c r="O107" s="76">
        <v>784.366576819407</v>
      </c>
      <c r="P107" s="76">
        <v>752.8843155597133</v>
      </c>
      <c r="Q107" s="76">
        <v>921.5036189586738</v>
      </c>
      <c r="R107" s="76">
        <v>0</v>
      </c>
      <c r="S107" s="76">
        <v>948.3686786296898</v>
      </c>
      <c r="T107" s="71">
        <v>0</v>
      </c>
      <c r="U107" s="76">
        <v>684.1997544003275</v>
      </c>
      <c r="V107" s="76">
        <v>757.6978417266184</v>
      </c>
      <c r="W107" s="76">
        <v>741.491085899514</v>
      </c>
      <c r="X107" s="76">
        <v>774.0981667652278</v>
      </c>
      <c r="Y107" s="76">
        <v>677.9833487511563</v>
      </c>
      <c r="Z107" s="76">
        <v>879.8654708520179</v>
      </c>
      <c r="AA107" s="10">
        <v>834.0303593556386</v>
      </c>
      <c r="AB107" s="88"/>
      <c r="AC107" s="88"/>
      <c r="AD107" s="116">
        <f t="shared" si="15"/>
        <v>2103.674189050998</v>
      </c>
      <c r="AE107" s="68">
        <f t="shared" si="16"/>
        <v>0</v>
      </c>
      <c r="AF107" s="68">
        <f t="shared" si="17"/>
        <v>0</v>
      </c>
      <c r="AG107" s="68">
        <f t="shared" si="18"/>
        <v>0</v>
      </c>
      <c r="AH107" s="68">
        <f t="shared" si="19"/>
        <v>677.9833487511563</v>
      </c>
      <c r="AI107" s="68">
        <f t="shared" si="20"/>
        <v>684.1997544003275</v>
      </c>
      <c r="AJ107" s="68">
        <f t="shared" si="21"/>
        <v>741.491085899514</v>
      </c>
    </row>
    <row r="108" spans="1:36" ht="12.75">
      <c r="A108" s="14">
        <v>101</v>
      </c>
      <c r="B108" s="9" t="s">
        <v>123</v>
      </c>
      <c r="C108" s="7" t="s">
        <v>95</v>
      </c>
      <c r="D108" s="7" t="s">
        <v>98</v>
      </c>
      <c r="E108" s="8">
        <v>1973</v>
      </c>
      <c r="F108" s="38">
        <v>8275.664541068769</v>
      </c>
      <c r="G108" s="38">
        <f t="shared" si="14"/>
        <v>17</v>
      </c>
      <c r="H108" s="38">
        <f t="shared" si="22"/>
        <v>8275.664541068769</v>
      </c>
      <c r="I108" s="73"/>
      <c r="J108" s="73"/>
      <c r="K108" s="69">
        <v>0</v>
      </c>
      <c r="L108" s="76">
        <v>697.4169741697416</v>
      </c>
      <c r="M108" s="76">
        <v>707.3728329205564</v>
      </c>
      <c r="N108" s="76">
        <v>0</v>
      </c>
      <c r="O108" s="76">
        <v>777</v>
      </c>
      <c r="P108" s="76">
        <v>831</v>
      </c>
      <c r="Q108" s="76">
        <v>789</v>
      </c>
      <c r="R108" s="72">
        <v>0</v>
      </c>
      <c r="S108" s="72">
        <v>0</v>
      </c>
      <c r="T108" s="76">
        <v>748.577621240856</v>
      </c>
      <c r="U108" s="76">
        <v>666.6062364031907</v>
      </c>
      <c r="V108" s="76">
        <v>729.0082930200415</v>
      </c>
      <c r="W108" s="76">
        <v>655.0519169329074</v>
      </c>
      <c r="X108" s="70">
        <v>0</v>
      </c>
      <c r="Y108" s="76">
        <v>831.4523589269195</v>
      </c>
      <c r="Z108" s="47">
        <v>843.766816143498</v>
      </c>
      <c r="AA108" s="10">
        <v>0</v>
      </c>
      <c r="AB108" s="88"/>
      <c r="AC108" s="88"/>
      <c r="AD108" s="116">
        <f t="shared" si="15"/>
        <v>0</v>
      </c>
      <c r="AE108" s="68">
        <f t="shared" si="16"/>
        <v>0</v>
      </c>
      <c r="AF108" s="68">
        <f t="shared" si="17"/>
        <v>0</v>
      </c>
      <c r="AG108" s="68">
        <f t="shared" si="18"/>
        <v>0</v>
      </c>
      <c r="AH108" s="68">
        <f t="shared" si="19"/>
        <v>0</v>
      </c>
      <c r="AI108" s="68">
        <f t="shared" si="20"/>
        <v>0</v>
      </c>
      <c r="AJ108" s="68">
        <f t="shared" si="21"/>
        <v>0</v>
      </c>
    </row>
    <row r="109" spans="1:36" ht="12.75">
      <c r="A109" s="14">
        <v>102</v>
      </c>
      <c r="B109" s="9" t="s">
        <v>124</v>
      </c>
      <c r="C109" s="7" t="s">
        <v>95</v>
      </c>
      <c r="D109" s="7" t="s">
        <v>126</v>
      </c>
      <c r="E109" s="8">
        <v>1980</v>
      </c>
      <c r="F109" s="38">
        <v>4988.072324557936</v>
      </c>
      <c r="G109" s="38">
        <f t="shared" si="14"/>
        <v>17</v>
      </c>
      <c r="H109" s="38">
        <f t="shared" si="22"/>
        <v>4988.072324557936</v>
      </c>
      <c r="I109" s="73"/>
      <c r="J109" s="73"/>
      <c r="K109" s="69">
        <v>0</v>
      </c>
      <c r="L109" s="76">
        <v>587.4538745387456</v>
      </c>
      <c r="M109" s="76">
        <v>835.2067060392457</v>
      </c>
      <c r="N109" s="76">
        <v>948.2801286810196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6">
        <v>933.483422022104</v>
      </c>
      <c r="V109" s="76">
        <v>871.6546762589929</v>
      </c>
      <c r="W109" s="76">
        <v>811.9935170178283</v>
      </c>
      <c r="X109" s="71">
        <v>0</v>
      </c>
      <c r="Y109" s="71">
        <v>0</v>
      </c>
      <c r="Z109" s="71">
        <v>0</v>
      </c>
      <c r="AA109" s="69">
        <v>0</v>
      </c>
      <c r="AB109" s="88"/>
      <c r="AC109" s="88"/>
      <c r="AD109" s="116">
        <f t="shared" si="15"/>
        <v>0</v>
      </c>
      <c r="AE109" s="68">
        <f t="shared" si="16"/>
        <v>0</v>
      </c>
      <c r="AF109" s="68">
        <f t="shared" si="17"/>
        <v>0</v>
      </c>
      <c r="AG109" s="68">
        <f t="shared" si="18"/>
        <v>0</v>
      </c>
      <c r="AH109" s="68">
        <f t="shared" si="19"/>
        <v>0</v>
      </c>
      <c r="AI109" s="68">
        <f t="shared" si="20"/>
        <v>0</v>
      </c>
      <c r="AJ109" s="68">
        <f t="shared" si="21"/>
        <v>0</v>
      </c>
    </row>
    <row r="110" spans="1:36" ht="12.75">
      <c r="A110" s="14">
        <v>103</v>
      </c>
      <c r="B110" s="9" t="s">
        <v>125</v>
      </c>
      <c r="C110" s="7" t="s">
        <v>95</v>
      </c>
      <c r="D110" s="7" t="s">
        <v>98</v>
      </c>
      <c r="E110" s="8">
        <v>1975</v>
      </c>
      <c r="F110" s="38">
        <v>3226.520134492423</v>
      </c>
      <c r="G110" s="38">
        <f t="shared" si="14"/>
        <v>17</v>
      </c>
      <c r="H110" s="38">
        <f t="shared" si="22"/>
        <v>3226.520134492423</v>
      </c>
      <c r="I110" s="73"/>
      <c r="J110" s="73"/>
      <c r="K110" s="69">
        <v>0</v>
      </c>
      <c r="L110" s="69">
        <v>0</v>
      </c>
      <c r="M110" s="76">
        <v>809.2970089540866</v>
      </c>
      <c r="N110" s="69">
        <v>0</v>
      </c>
      <c r="O110" s="69">
        <v>0</v>
      </c>
      <c r="P110" s="69">
        <v>0</v>
      </c>
      <c r="Q110" s="69">
        <v>0</v>
      </c>
      <c r="R110" s="72">
        <v>0</v>
      </c>
      <c r="S110" s="72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36">
        <v>770.2590194264569</v>
      </c>
      <c r="Z110" s="36">
        <v>821.7937219730941</v>
      </c>
      <c r="AA110" s="10">
        <v>825.1703841387858</v>
      </c>
      <c r="AB110" s="88"/>
      <c r="AC110" s="88"/>
      <c r="AD110" s="116">
        <f t="shared" si="15"/>
        <v>0</v>
      </c>
      <c r="AE110" s="68">
        <f t="shared" si="16"/>
        <v>0</v>
      </c>
      <c r="AF110" s="68">
        <f t="shared" si="17"/>
        <v>0</v>
      </c>
      <c r="AG110" s="68">
        <f t="shared" si="18"/>
        <v>0</v>
      </c>
      <c r="AH110" s="68">
        <f t="shared" si="19"/>
        <v>0</v>
      </c>
      <c r="AI110" s="68">
        <f t="shared" si="20"/>
        <v>0</v>
      </c>
      <c r="AJ110" s="68">
        <f t="shared" si="21"/>
        <v>0</v>
      </c>
    </row>
    <row r="111" spans="1:36" ht="12.75">
      <c r="A111" s="14">
        <v>104</v>
      </c>
      <c r="B111" s="9" t="s">
        <v>134</v>
      </c>
      <c r="C111" s="7" t="s">
        <v>95</v>
      </c>
      <c r="D111" s="7" t="s">
        <v>136</v>
      </c>
      <c r="F111" s="38">
        <v>854.182723487939</v>
      </c>
      <c r="G111" s="38">
        <f t="shared" si="14"/>
        <v>17</v>
      </c>
      <c r="H111" s="38">
        <f t="shared" si="22"/>
        <v>854.182723487939</v>
      </c>
      <c r="I111" s="73"/>
      <c r="J111" s="73"/>
      <c r="K111" s="69">
        <v>0</v>
      </c>
      <c r="L111" s="76">
        <v>0</v>
      </c>
      <c r="M111" s="76">
        <v>307.6106194690265</v>
      </c>
      <c r="N111" s="76">
        <v>546.5721040189126</v>
      </c>
      <c r="O111" s="69">
        <v>0</v>
      </c>
      <c r="P111" s="69">
        <v>0</v>
      </c>
      <c r="Q111" s="69">
        <v>0</v>
      </c>
      <c r="R111" s="72">
        <v>0</v>
      </c>
      <c r="S111" s="72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88"/>
      <c r="AC111" s="88"/>
      <c r="AD111" s="116">
        <f t="shared" si="15"/>
        <v>0</v>
      </c>
      <c r="AE111" s="68">
        <f t="shared" si="16"/>
        <v>0</v>
      </c>
      <c r="AF111" s="68">
        <f t="shared" si="17"/>
        <v>0</v>
      </c>
      <c r="AG111" s="68">
        <f t="shared" si="18"/>
        <v>0</v>
      </c>
      <c r="AH111" s="68">
        <f t="shared" si="19"/>
        <v>0</v>
      </c>
      <c r="AI111" s="68">
        <f t="shared" si="20"/>
        <v>0</v>
      </c>
      <c r="AJ111" s="68">
        <f t="shared" si="21"/>
        <v>0</v>
      </c>
    </row>
    <row r="112" spans="1:36" ht="12.75">
      <c r="A112" s="14">
        <v>105</v>
      </c>
      <c r="B112" s="29" t="s">
        <v>308</v>
      </c>
      <c r="C112" s="7" t="s">
        <v>95</v>
      </c>
      <c r="D112" s="7" t="s">
        <v>302</v>
      </c>
      <c r="F112" s="38">
        <v>49.78325657003535</v>
      </c>
      <c r="G112" s="38">
        <f t="shared" si="14"/>
        <v>17</v>
      </c>
      <c r="H112" s="38">
        <f t="shared" si="22"/>
        <v>49.78325657003535</v>
      </c>
      <c r="I112" s="73"/>
      <c r="J112" s="73"/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76">
        <v>49.78325657003535</v>
      </c>
      <c r="U112" s="76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88"/>
      <c r="AC112" s="88"/>
      <c r="AD112" s="116">
        <f t="shared" si="15"/>
        <v>0</v>
      </c>
      <c r="AE112" s="68">
        <f t="shared" si="16"/>
        <v>0</v>
      </c>
      <c r="AF112" s="68">
        <f t="shared" si="17"/>
        <v>0</v>
      </c>
      <c r="AG112" s="68">
        <f t="shared" si="18"/>
        <v>0</v>
      </c>
      <c r="AH112" s="68">
        <f t="shared" si="19"/>
        <v>0</v>
      </c>
      <c r="AI112" s="68">
        <f t="shared" si="20"/>
        <v>0</v>
      </c>
      <c r="AJ112" s="68">
        <f t="shared" si="21"/>
        <v>0</v>
      </c>
    </row>
    <row r="113" spans="1:36" ht="12.75">
      <c r="A113" s="14">
        <v>106</v>
      </c>
      <c r="B113" s="29" t="s">
        <v>219</v>
      </c>
      <c r="C113" s="7" t="s">
        <v>10</v>
      </c>
      <c r="D113" s="7" t="s">
        <v>69</v>
      </c>
      <c r="E113" s="8">
        <v>2000</v>
      </c>
      <c r="F113" s="38">
        <v>1243.444704310057</v>
      </c>
      <c r="G113" s="38">
        <f t="shared" si="14"/>
        <v>17</v>
      </c>
      <c r="H113" s="38">
        <f t="shared" si="22"/>
        <v>1243.444704310057</v>
      </c>
      <c r="I113" s="73"/>
      <c r="J113" s="73"/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76">
        <v>770</v>
      </c>
      <c r="S113" s="76">
        <v>473.4447043100568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88"/>
      <c r="AC113" s="88"/>
      <c r="AD113" s="116">
        <f t="shared" si="15"/>
        <v>0</v>
      </c>
      <c r="AE113" s="68">
        <f t="shared" si="16"/>
        <v>0</v>
      </c>
      <c r="AF113" s="68">
        <f t="shared" si="17"/>
        <v>0</v>
      </c>
      <c r="AG113" s="68">
        <f t="shared" si="18"/>
        <v>0</v>
      </c>
      <c r="AH113" s="68">
        <f t="shared" si="19"/>
        <v>0</v>
      </c>
      <c r="AI113" s="68">
        <f t="shared" si="20"/>
        <v>0</v>
      </c>
      <c r="AJ113" s="68">
        <f t="shared" si="21"/>
        <v>0</v>
      </c>
    </row>
    <row r="114" spans="1:36" ht="12.75">
      <c r="A114" s="14">
        <v>107</v>
      </c>
      <c r="B114" s="29" t="s">
        <v>326</v>
      </c>
      <c r="F114" s="38">
        <v>703.6169370795409</v>
      </c>
      <c r="G114" s="38">
        <f t="shared" si="14"/>
        <v>17</v>
      </c>
      <c r="H114" s="38">
        <f t="shared" si="22"/>
        <v>703.6169370795409</v>
      </c>
      <c r="I114" s="73"/>
      <c r="J114" s="73"/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10">
        <v>703.6169370795409</v>
      </c>
      <c r="AB114" s="88"/>
      <c r="AC114" s="88"/>
      <c r="AD114" s="116">
        <f t="shared" si="15"/>
        <v>0</v>
      </c>
      <c r="AE114" s="68">
        <f t="shared" si="16"/>
        <v>0</v>
      </c>
      <c r="AF114" s="68">
        <f t="shared" si="17"/>
        <v>0</v>
      </c>
      <c r="AG114" s="68">
        <f t="shared" si="18"/>
        <v>0</v>
      </c>
      <c r="AH114" s="68">
        <f t="shared" si="19"/>
        <v>0</v>
      </c>
      <c r="AI114" s="68">
        <f t="shared" si="20"/>
        <v>0</v>
      </c>
      <c r="AJ114" s="68">
        <f t="shared" si="21"/>
        <v>0</v>
      </c>
    </row>
    <row r="115" spans="1:36" ht="12.75">
      <c r="A115" s="14">
        <v>108</v>
      </c>
      <c r="B115" s="9" t="s">
        <v>139</v>
      </c>
      <c r="C115" s="7" t="s">
        <v>10</v>
      </c>
      <c r="D115" s="7" t="s">
        <v>49</v>
      </c>
      <c r="E115" s="8">
        <v>1997</v>
      </c>
      <c r="F115" s="38">
        <v>2079.671941989776</v>
      </c>
      <c r="G115" s="38">
        <f t="shared" si="14"/>
        <v>17</v>
      </c>
      <c r="H115" s="38">
        <f t="shared" si="22"/>
        <v>2079.671941989776</v>
      </c>
      <c r="I115" s="73"/>
      <c r="J115" s="73"/>
      <c r="K115" s="69">
        <v>0</v>
      </c>
      <c r="L115" s="76">
        <v>286.82634730538933</v>
      </c>
      <c r="M115" s="76">
        <v>422.6281075596143</v>
      </c>
      <c r="N115" s="76">
        <v>672.0575286175521</v>
      </c>
      <c r="O115" s="69">
        <v>0</v>
      </c>
      <c r="P115" s="69">
        <v>0</v>
      </c>
      <c r="Q115" s="69">
        <v>0</v>
      </c>
      <c r="R115" s="76">
        <v>255.62913907284775</v>
      </c>
      <c r="S115" s="76">
        <v>0</v>
      </c>
      <c r="T115" s="71">
        <v>0</v>
      </c>
      <c r="U115" s="76">
        <v>442.53081943437246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88"/>
      <c r="AC115" s="88"/>
      <c r="AD115" s="116">
        <f t="shared" si="15"/>
        <v>0</v>
      </c>
      <c r="AE115" s="68">
        <f t="shared" si="16"/>
        <v>0</v>
      </c>
      <c r="AF115" s="68">
        <f t="shared" si="17"/>
        <v>0</v>
      </c>
      <c r="AG115" s="68">
        <f t="shared" si="18"/>
        <v>0</v>
      </c>
      <c r="AH115" s="68">
        <f t="shared" si="19"/>
        <v>0</v>
      </c>
      <c r="AI115" s="68">
        <f t="shared" si="20"/>
        <v>0</v>
      </c>
      <c r="AJ115" s="68">
        <f t="shared" si="21"/>
        <v>0</v>
      </c>
    </row>
    <row r="116" spans="1:36" ht="12.75">
      <c r="A116" s="14">
        <v>109</v>
      </c>
      <c r="B116" s="29" t="s">
        <v>229</v>
      </c>
      <c r="C116" s="7" t="s">
        <v>10</v>
      </c>
      <c r="D116" s="7" t="s">
        <v>49</v>
      </c>
      <c r="E116" s="8">
        <v>1967</v>
      </c>
      <c r="F116" s="38">
        <v>10</v>
      </c>
      <c r="G116" s="38">
        <f t="shared" si="14"/>
        <v>17</v>
      </c>
      <c r="H116" s="38">
        <f t="shared" si="22"/>
        <v>10</v>
      </c>
      <c r="I116" s="73"/>
      <c r="J116" s="73"/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76">
        <v>0</v>
      </c>
      <c r="S116" s="76">
        <v>10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88"/>
      <c r="AC116" s="88"/>
      <c r="AD116" s="116">
        <f t="shared" si="15"/>
        <v>0</v>
      </c>
      <c r="AE116" s="68">
        <f t="shared" si="16"/>
        <v>0</v>
      </c>
      <c r="AF116" s="68">
        <f t="shared" si="17"/>
        <v>0</v>
      </c>
      <c r="AG116" s="68">
        <f t="shared" si="18"/>
        <v>0</v>
      </c>
      <c r="AH116" s="68">
        <f t="shared" si="19"/>
        <v>0</v>
      </c>
      <c r="AI116" s="68">
        <f t="shared" si="20"/>
        <v>0</v>
      </c>
      <c r="AJ116" s="68">
        <f t="shared" si="21"/>
        <v>0</v>
      </c>
    </row>
    <row r="117" spans="1:36" ht="12.75">
      <c r="A117" s="14">
        <v>110</v>
      </c>
      <c r="B117" s="9" t="s">
        <v>120</v>
      </c>
      <c r="C117" s="7" t="s">
        <v>10</v>
      </c>
      <c r="D117" s="7" t="s">
        <v>49</v>
      </c>
      <c r="E117" s="8">
        <v>1983</v>
      </c>
      <c r="F117" s="38">
        <v>6449.283015126883</v>
      </c>
      <c r="G117" s="38">
        <f t="shared" si="14"/>
        <v>17</v>
      </c>
      <c r="H117" s="38">
        <f t="shared" si="22"/>
        <v>6449.283015126883</v>
      </c>
      <c r="I117" s="73"/>
      <c r="J117" s="73"/>
      <c r="K117" s="69">
        <v>0</v>
      </c>
      <c r="L117" s="76">
        <v>817.7121771217712</v>
      </c>
      <c r="M117" s="76">
        <v>716.1364069346542</v>
      </c>
      <c r="N117" s="76">
        <v>905.7164068299928</v>
      </c>
      <c r="O117" s="76">
        <v>737.6460017969453</v>
      </c>
      <c r="P117" s="76">
        <v>702.4633613969443</v>
      </c>
      <c r="Q117" s="76">
        <v>1007.5414429138452</v>
      </c>
      <c r="R117" s="76">
        <v>807.9470198675498</v>
      </c>
      <c r="S117" s="76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10">
        <v>754.1201982651799</v>
      </c>
      <c r="AB117" s="88"/>
      <c r="AC117" s="88"/>
      <c r="AD117" s="116">
        <f t="shared" si="15"/>
        <v>0</v>
      </c>
      <c r="AE117" s="68">
        <f t="shared" si="16"/>
        <v>0</v>
      </c>
      <c r="AF117" s="68">
        <f t="shared" si="17"/>
        <v>0</v>
      </c>
      <c r="AG117" s="68">
        <f t="shared" si="18"/>
        <v>0</v>
      </c>
      <c r="AH117" s="68">
        <f t="shared" si="19"/>
        <v>0</v>
      </c>
      <c r="AI117" s="68">
        <f t="shared" si="20"/>
        <v>0</v>
      </c>
      <c r="AJ117" s="68">
        <f t="shared" si="21"/>
        <v>0</v>
      </c>
    </row>
    <row r="118" spans="1:36" ht="12.75">
      <c r="A118" s="14">
        <v>111</v>
      </c>
      <c r="B118" s="9" t="s">
        <v>56</v>
      </c>
      <c r="C118" s="7" t="s">
        <v>10</v>
      </c>
      <c r="D118" s="7" t="s">
        <v>57</v>
      </c>
      <c r="E118" s="8">
        <v>1982</v>
      </c>
      <c r="F118" s="38">
        <v>13624.026377062311</v>
      </c>
      <c r="G118" s="38">
        <f t="shared" si="14"/>
        <v>17</v>
      </c>
      <c r="H118" s="38">
        <f t="shared" si="22"/>
        <v>10028.786168382198</v>
      </c>
      <c r="I118" s="73"/>
      <c r="J118" s="73"/>
      <c r="K118" s="76">
        <v>899.0264255910989</v>
      </c>
      <c r="L118" s="76">
        <v>581.5498154981551</v>
      </c>
      <c r="M118" s="76">
        <v>740.3314917127072</v>
      </c>
      <c r="N118" s="76">
        <v>929.472902746845</v>
      </c>
      <c r="O118" s="76">
        <v>768.1940700808627</v>
      </c>
      <c r="P118" s="76">
        <v>764.8893046460868</v>
      </c>
      <c r="Q118" s="76">
        <v>927.6675227644174</v>
      </c>
      <c r="R118" s="76">
        <v>944.3708609271522</v>
      </c>
      <c r="S118" s="76">
        <v>1004.8939641109298</v>
      </c>
      <c r="T118" s="71">
        <v>0</v>
      </c>
      <c r="U118" s="76">
        <v>802.9062627916494</v>
      </c>
      <c r="V118" s="76">
        <v>885.4676258992804</v>
      </c>
      <c r="W118" s="76">
        <v>740.2755267423016</v>
      </c>
      <c r="X118" s="76">
        <v>832.2590183323476</v>
      </c>
      <c r="Y118" s="76">
        <v>910.1295097132285</v>
      </c>
      <c r="Z118" s="76">
        <v>1029.5964125560538</v>
      </c>
      <c r="AA118" s="10">
        <v>862.9956629491948</v>
      </c>
      <c r="AB118" s="88"/>
      <c r="AC118" s="88"/>
      <c r="AD118" s="116">
        <f t="shared" si="15"/>
        <v>3595.2402086801135</v>
      </c>
      <c r="AE118" s="68">
        <f t="shared" si="16"/>
        <v>0</v>
      </c>
      <c r="AF118" s="68">
        <f t="shared" si="17"/>
        <v>581.5498154981551</v>
      </c>
      <c r="AG118" s="68">
        <f t="shared" si="18"/>
        <v>740.2755267423016</v>
      </c>
      <c r="AH118" s="68">
        <f t="shared" si="19"/>
        <v>740.3314917127072</v>
      </c>
      <c r="AI118" s="68">
        <f t="shared" si="20"/>
        <v>764.8893046460868</v>
      </c>
      <c r="AJ118" s="68">
        <f t="shared" si="21"/>
        <v>768.1940700808627</v>
      </c>
    </row>
    <row r="119" spans="1:36" ht="12.75">
      <c r="A119" s="14">
        <v>112</v>
      </c>
      <c r="B119" s="9" t="s">
        <v>264</v>
      </c>
      <c r="C119" t="s">
        <v>10</v>
      </c>
      <c r="D119" t="s">
        <v>256</v>
      </c>
      <c r="E119" s="8">
        <v>1980</v>
      </c>
      <c r="F119" s="38">
        <v>374.8344370860927</v>
      </c>
      <c r="G119" s="38">
        <f t="shared" si="14"/>
        <v>17</v>
      </c>
      <c r="H119" s="38">
        <f t="shared" si="22"/>
        <v>374.8344370860927</v>
      </c>
      <c r="I119" s="73"/>
      <c r="J119" s="73"/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76">
        <v>374.8344370860927</v>
      </c>
      <c r="S119" s="76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88"/>
      <c r="AC119" s="88"/>
      <c r="AD119" s="116">
        <f t="shared" si="15"/>
        <v>0</v>
      </c>
      <c r="AE119" s="68">
        <f t="shared" si="16"/>
        <v>0</v>
      </c>
      <c r="AF119" s="68">
        <f t="shared" si="17"/>
        <v>0</v>
      </c>
      <c r="AG119" s="68">
        <f t="shared" si="18"/>
        <v>0</v>
      </c>
      <c r="AH119" s="68">
        <f t="shared" si="19"/>
        <v>0</v>
      </c>
      <c r="AI119" s="68">
        <f t="shared" si="20"/>
        <v>0</v>
      </c>
      <c r="AJ119" s="68">
        <f t="shared" si="21"/>
        <v>0</v>
      </c>
    </row>
    <row r="120" spans="1:36" ht="12.75">
      <c r="A120" s="14">
        <v>113</v>
      </c>
      <c r="B120" s="29" t="s">
        <v>230</v>
      </c>
      <c r="C120" s="7" t="s">
        <v>10</v>
      </c>
      <c r="D120" s="7" t="s">
        <v>74</v>
      </c>
      <c r="E120" s="8">
        <v>1972</v>
      </c>
      <c r="F120" s="38">
        <v>0</v>
      </c>
      <c r="G120" s="38">
        <f t="shared" si="14"/>
        <v>17</v>
      </c>
      <c r="H120" s="38">
        <f t="shared" si="22"/>
        <v>0</v>
      </c>
      <c r="I120" s="73"/>
      <c r="J120" s="73"/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76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88"/>
      <c r="AC120" s="88"/>
      <c r="AD120" s="116">
        <f t="shared" si="15"/>
        <v>0</v>
      </c>
      <c r="AE120" s="68">
        <f t="shared" si="16"/>
        <v>0</v>
      </c>
      <c r="AF120" s="68">
        <f t="shared" si="17"/>
        <v>0</v>
      </c>
      <c r="AG120" s="68">
        <f t="shared" si="18"/>
        <v>0</v>
      </c>
      <c r="AH120" s="68">
        <f t="shared" si="19"/>
        <v>0</v>
      </c>
      <c r="AI120" s="68">
        <f t="shared" si="20"/>
        <v>0</v>
      </c>
      <c r="AJ120" s="68">
        <f t="shared" si="21"/>
        <v>0</v>
      </c>
    </row>
    <row r="121" spans="1:36" ht="12.75">
      <c r="A121" s="14">
        <v>114</v>
      </c>
      <c r="B121" s="9" t="s">
        <v>265</v>
      </c>
      <c r="C121" t="s">
        <v>10</v>
      </c>
      <c r="D121" t="s">
        <v>266</v>
      </c>
      <c r="E121" s="8">
        <v>1989</v>
      </c>
      <c r="F121" s="38">
        <v>581.523178807947</v>
      </c>
      <c r="G121" s="38">
        <f t="shared" si="14"/>
        <v>17</v>
      </c>
      <c r="H121" s="38">
        <f t="shared" si="22"/>
        <v>581.523178807947</v>
      </c>
      <c r="I121" s="73"/>
      <c r="J121" s="73"/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76">
        <v>571.523178807947</v>
      </c>
      <c r="S121" s="76">
        <v>10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88"/>
      <c r="AC121" s="88"/>
      <c r="AD121" s="116">
        <f t="shared" si="15"/>
        <v>0</v>
      </c>
      <c r="AE121" s="68">
        <f t="shared" si="16"/>
        <v>0</v>
      </c>
      <c r="AF121" s="68">
        <f t="shared" si="17"/>
        <v>0</v>
      </c>
      <c r="AG121" s="68">
        <f t="shared" si="18"/>
        <v>0</v>
      </c>
      <c r="AH121" s="68">
        <f t="shared" si="19"/>
        <v>0</v>
      </c>
      <c r="AI121" s="68">
        <f t="shared" si="20"/>
        <v>0</v>
      </c>
      <c r="AJ121" s="68">
        <f t="shared" si="21"/>
        <v>0</v>
      </c>
    </row>
    <row r="122" spans="1:36" ht="12.75">
      <c r="A122" s="14">
        <v>115</v>
      </c>
      <c r="B122" s="29" t="s">
        <v>220</v>
      </c>
      <c r="C122" s="7" t="s">
        <v>10</v>
      </c>
      <c r="D122" s="7" t="s">
        <v>69</v>
      </c>
      <c r="E122" s="8">
        <v>1999</v>
      </c>
      <c r="F122" s="38">
        <v>660</v>
      </c>
      <c r="G122" s="38">
        <f t="shared" si="14"/>
        <v>17</v>
      </c>
      <c r="H122" s="38">
        <f t="shared" si="22"/>
        <v>660</v>
      </c>
      <c r="I122" s="73"/>
      <c r="J122" s="73"/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76">
        <v>0</v>
      </c>
      <c r="S122" s="76">
        <v>660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88"/>
      <c r="AC122" s="88"/>
      <c r="AD122" s="116">
        <f t="shared" si="15"/>
        <v>0</v>
      </c>
      <c r="AE122" s="68">
        <f t="shared" si="16"/>
        <v>0</v>
      </c>
      <c r="AF122" s="68">
        <f t="shared" si="17"/>
        <v>0</v>
      </c>
      <c r="AG122" s="68">
        <f t="shared" si="18"/>
        <v>0</v>
      </c>
      <c r="AH122" s="68">
        <f t="shared" si="19"/>
        <v>0</v>
      </c>
      <c r="AI122" s="68">
        <f t="shared" si="20"/>
        <v>0</v>
      </c>
      <c r="AJ122" s="68">
        <f t="shared" si="21"/>
        <v>0</v>
      </c>
    </row>
    <row r="123" spans="1:36" ht="12.75">
      <c r="A123" s="14">
        <v>116</v>
      </c>
      <c r="B123" s="9" t="s">
        <v>267</v>
      </c>
      <c r="C123" t="s">
        <v>10</v>
      </c>
      <c r="D123" t="s">
        <v>11</v>
      </c>
      <c r="E123" s="8">
        <v>1978</v>
      </c>
      <c r="F123" s="38">
        <v>672.185430463576</v>
      </c>
      <c r="G123" s="38">
        <f t="shared" si="14"/>
        <v>17</v>
      </c>
      <c r="H123" s="38">
        <f t="shared" si="22"/>
        <v>672.185430463576</v>
      </c>
      <c r="I123" s="73"/>
      <c r="J123" s="73"/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76">
        <v>672.185430463576</v>
      </c>
      <c r="S123" s="76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88"/>
      <c r="AC123" s="88"/>
      <c r="AD123" s="116">
        <f t="shared" si="15"/>
        <v>0</v>
      </c>
      <c r="AE123" s="68">
        <f t="shared" si="16"/>
        <v>0</v>
      </c>
      <c r="AF123" s="68">
        <f t="shared" si="17"/>
        <v>0</v>
      </c>
      <c r="AG123" s="68">
        <f t="shared" si="18"/>
        <v>0</v>
      </c>
      <c r="AH123" s="68">
        <f t="shared" si="19"/>
        <v>0</v>
      </c>
      <c r="AI123" s="68">
        <f t="shared" si="20"/>
        <v>0</v>
      </c>
      <c r="AJ123" s="68">
        <f t="shared" si="21"/>
        <v>0</v>
      </c>
    </row>
    <row r="124" spans="1:36" ht="12.75">
      <c r="A124" s="14">
        <v>117</v>
      </c>
      <c r="B124" s="9" t="s">
        <v>268</v>
      </c>
      <c r="C124" t="s">
        <v>187</v>
      </c>
      <c r="D124" t="s">
        <v>269</v>
      </c>
      <c r="E124" s="8">
        <v>1980</v>
      </c>
      <c r="F124" s="38">
        <v>6557.5570348460005</v>
      </c>
      <c r="G124" s="38">
        <f t="shared" si="14"/>
        <v>17</v>
      </c>
      <c r="H124" s="38">
        <f t="shared" si="22"/>
        <v>6557.5570348460005</v>
      </c>
      <c r="I124" s="73"/>
      <c r="J124" s="73"/>
      <c r="K124" s="69">
        <v>0</v>
      </c>
      <c r="L124" s="69">
        <v>0</v>
      </c>
      <c r="M124" s="69">
        <v>0</v>
      </c>
      <c r="N124" s="69">
        <v>0</v>
      </c>
      <c r="O124" s="76">
        <v>292.9020664869724</v>
      </c>
      <c r="P124" s="76">
        <v>950.7951356407857</v>
      </c>
      <c r="Q124" s="75">
        <v>927.9243520896566</v>
      </c>
      <c r="R124" s="76">
        <v>631.7880794701987</v>
      </c>
      <c r="S124" s="76">
        <v>1004.4453507340949</v>
      </c>
      <c r="T124" s="71">
        <v>0</v>
      </c>
      <c r="U124" s="71">
        <v>0</v>
      </c>
      <c r="V124" s="71">
        <v>0</v>
      </c>
      <c r="W124" s="71">
        <v>0</v>
      </c>
      <c r="X124" s="76">
        <v>903.4594914251919</v>
      </c>
      <c r="Y124" s="47">
        <v>912.0721554116559</v>
      </c>
      <c r="Z124" s="76">
        <v>934.1704035874438</v>
      </c>
      <c r="AA124" s="69">
        <v>0</v>
      </c>
      <c r="AB124" s="88"/>
      <c r="AC124" s="88"/>
      <c r="AD124" s="116">
        <f t="shared" si="15"/>
        <v>0</v>
      </c>
      <c r="AE124" s="68">
        <f t="shared" si="16"/>
        <v>0</v>
      </c>
      <c r="AF124" s="68">
        <f t="shared" si="17"/>
        <v>0</v>
      </c>
      <c r="AG124" s="68">
        <f t="shared" si="18"/>
        <v>0</v>
      </c>
      <c r="AH124" s="68">
        <f t="shared" si="19"/>
        <v>0</v>
      </c>
      <c r="AI124" s="68">
        <f t="shared" si="20"/>
        <v>0</v>
      </c>
      <c r="AJ124" s="68">
        <f t="shared" si="21"/>
        <v>0</v>
      </c>
    </row>
    <row r="125" spans="1:36" ht="12.75">
      <c r="A125" s="14">
        <v>118</v>
      </c>
      <c r="B125" s="9" t="s">
        <v>151</v>
      </c>
      <c r="C125" s="7" t="s">
        <v>10</v>
      </c>
      <c r="D125" s="7" t="s">
        <v>35</v>
      </c>
      <c r="E125" s="8">
        <v>1970</v>
      </c>
      <c r="F125" s="38">
        <v>1803.9154313881245</v>
      </c>
      <c r="G125" s="38">
        <f t="shared" si="14"/>
        <v>17</v>
      </c>
      <c r="H125" s="38">
        <f t="shared" si="22"/>
        <v>1803.9154313881245</v>
      </c>
      <c r="I125" s="73"/>
      <c r="J125" s="73"/>
      <c r="K125" s="69">
        <v>0</v>
      </c>
      <c r="L125" s="69">
        <v>0</v>
      </c>
      <c r="M125" s="69">
        <v>0</v>
      </c>
      <c r="N125" s="76">
        <v>668.7470449172578</v>
      </c>
      <c r="O125" s="69">
        <v>0</v>
      </c>
      <c r="P125" s="69">
        <v>0</v>
      </c>
      <c r="Q125" s="69">
        <v>0</v>
      </c>
      <c r="R125" s="76">
        <v>0</v>
      </c>
      <c r="S125" s="76">
        <v>596.0943856794142</v>
      </c>
      <c r="T125" s="69">
        <v>0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10">
        <v>539.0740007914522</v>
      </c>
      <c r="AB125" s="88"/>
      <c r="AC125" s="88"/>
      <c r="AD125" s="116">
        <f t="shared" si="15"/>
        <v>0</v>
      </c>
      <c r="AE125" s="68">
        <f t="shared" si="16"/>
        <v>0</v>
      </c>
      <c r="AF125" s="68">
        <f t="shared" si="17"/>
        <v>0</v>
      </c>
      <c r="AG125" s="68">
        <f t="shared" si="18"/>
        <v>0</v>
      </c>
      <c r="AH125" s="68">
        <f t="shared" si="19"/>
        <v>0</v>
      </c>
      <c r="AI125" s="68">
        <f t="shared" si="20"/>
        <v>0</v>
      </c>
      <c r="AJ125" s="68">
        <f t="shared" si="21"/>
        <v>0</v>
      </c>
    </row>
    <row r="126" spans="1:36" ht="12.75">
      <c r="A126" s="14">
        <v>119</v>
      </c>
      <c r="B126" s="9" t="s">
        <v>335</v>
      </c>
      <c r="F126" s="38">
        <v>0</v>
      </c>
      <c r="G126" s="38">
        <f t="shared" si="14"/>
        <v>17</v>
      </c>
      <c r="H126" s="38">
        <f t="shared" si="22"/>
        <v>0</v>
      </c>
      <c r="I126" s="73"/>
      <c r="J126" s="73"/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10">
        <v>0</v>
      </c>
      <c r="AB126" s="88"/>
      <c r="AC126" s="88"/>
      <c r="AD126" s="116">
        <f t="shared" si="15"/>
        <v>0</v>
      </c>
      <c r="AE126" s="68">
        <f t="shared" si="16"/>
        <v>0</v>
      </c>
      <c r="AF126" s="68">
        <f t="shared" si="17"/>
        <v>0</v>
      </c>
      <c r="AG126" s="68">
        <f t="shared" si="18"/>
        <v>0</v>
      </c>
      <c r="AH126" s="68">
        <f t="shared" si="19"/>
        <v>0</v>
      </c>
      <c r="AI126" s="68">
        <f t="shared" si="20"/>
        <v>0</v>
      </c>
      <c r="AJ126" s="68">
        <f t="shared" si="21"/>
        <v>0</v>
      </c>
    </row>
    <row r="127" spans="1:36" ht="12.75">
      <c r="A127" s="14">
        <v>120</v>
      </c>
      <c r="B127" s="29" t="s">
        <v>231</v>
      </c>
      <c r="C127" s="7" t="s">
        <v>10</v>
      </c>
      <c r="D127" s="7" t="s">
        <v>101</v>
      </c>
      <c r="E127" s="8">
        <v>1973</v>
      </c>
      <c r="F127" s="38">
        <v>128.546491931358</v>
      </c>
      <c r="G127" s="38">
        <f t="shared" si="14"/>
        <v>17</v>
      </c>
      <c r="H127" s="38">
        <f t="shared" si="22"/>
        <v>128.546491931358</v>
      </c>
      <c r="I127" s="73"/>
      <c r="J127" s="73"/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76">
        <v>47.27716727716751</v>
      </c>
      <c r="S127" s="76">
        <v>81.2693246541905</v>
      </c>
      <c r="T127" s="69">
        <v>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88"/>
      <c r="AC127" s="88"/>
      <c r="AD127" s="116">
        <f t="shared" si="15"/>
        <v>0</v>
      </c>
      <c r="AE127" s="68">
        <f t="shared" si="16"/>
        <v>0</v>
      </c>
      <c r="AF127" s="68">
        <f t="shared" si="17"/>
        <v>0</v>
      </c>
      <c r="AG127" s="68">
        <f t="shared" si="18"/>
        <v>0</v>
      </c>
      <c r="AH127" s="68">
        <f t="shared" si="19"/>
        <v>0</v>
      </c>
      <c r="AI127" s="68">
        <f t="shared" si="20"/>
        <v>0</v>
      </c>
      <c r="AJ127" s="68">
        <f t="shared" si="21"/>
        <v>0</v>
      </c>
    </row>
    <row r="128" spans="1:36" ht="12.75">
      <c r="A128" s="14">
        <v>121</v>
      </c>
      <c r="B128" s="29" t="s">
        <v>310</v>
      </c>
      <c r="C128" s="7" t="s">
        <v>95</v>
      </c>
      <c r="D128" s="7" t="s">
        <v>311</v>
      </c>
      <c r="F128" s="38">
        <v>1918.5243259754454</v>
      </c>
      <c r="G128" s="38">
        <f t="shared" si="14"/>
        <v>17</v>
      </c>
      <c r="H128" s="38">
        <f t="shared" si="22"/>
        <v>1918.5243259754454</v>
      </c>
      <c r="I128" s="73"/>
      <c r="J128" s="73"/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69">
        <v>0</v>
      </c>
      <c r="T128" s="76">
        <v>536.546184738956</v>
      </c>
      <c r="U128" s="76">
        <v>387.55555555555554</v>
      </c>
      <c r="V128" s="76">
        <v>521.3735108619479</v>
      </c>
      <c r="W128" s="76">
        <v>473.0490748189862</v>
      </c>
      <c r="X128" s="70">
        <v>0</v>
      </c>
      <c r="Y128" s="70">
        <v>0</v>
      </c>
      <c r="Z128" s="70">
        <v>0</v>
      </c>
      <c r="AA128" s="69">
        <v>0</v>
      </c>
      <c r="AB128" s="88"/>
      <c r="AC128" s="88"/>
      <c r="AD128" s="116">
        <f t="shared" si="15"/>
        <v>0</v>
      </c>
      <c r="AE128" s="68">
        <f t="shared" si="16"/>
        <v>0</v>
      </c>
      <c r="AF128" s="68">
        <f t="shared" si="17"/>
        <v>0</v>
      </c>
      <c r="AG128" s="68">
        <f t="shared" si="18"/>
        <v>0</v>
      </c>
      <c r="AH128" s="68">
        <f t="shared" si="19"/>
        <v>0</v>
      </c>
      <c r="AI128" s="68">
        <f t="shared" si="20"/>
        <v>0</v>
      </c>
      <c r="AJ128" s="68">
        <f t="shared" si="21"/>
        <v>0</v>
      </c>
    </row>
    <row r="129" spans="1:36" ht="12.75">
      <c r="A129" s="14">
        <v>122</v>
      </c>
      <c r="B129" s="29" t="s">
        <v>304</v>
      </c>
      <c r="C129" s="7" t="s">
        <v>95</v>
      </c>
      <c r="F129" s="38">
        <v>2315.5595040655908</v>
      </c>
      <c r="G129" s="38">
        <f t="shared" si="14"/>
        <v>17</v>
      </c>
      <c r="H129" s="38">
        <f t="shared" si="22"/>
        <v>2315.5595040655908</v>
      </c>
      <c r="I129" s="73"/>
      <c r="J129" s="73"/>
      <c r="K129" s="69">
        <v>0</v>
      </c>
      <c r="L129" s="69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76">
        <v>640.8832294771065</v>
      </c>
      <c r="U129" s="76">
        <v>515.9535895576504</v>
      </c>
      <c r="V129" s="76">
        <v>558.4830684174153</v>
      </c>
      <c r="W129" s="76">
        <v>600.2396166134184</v>
      </c>
      <c r="X129" s="70">
        <v>0</v>
      </c>
      <c r="Y129" s="70">
        <v>0</v>
      </c>
      <c r="Z129" s="70">
        <v>0</v>
      </c>
      <c r="AA129" s="69">
        <v>0</v>
      </c>
      <c r="AB129" s="88"/>
      <c r="AC129" s="88"/>
      <c r="AD129" s="116">
        <f t="shared" si="15"/>
        <v>0</v>
      </c>
      <c r="AE129" s="68">
        <f t="shared" si="16"/>
        <v>0</v>
      </c>
      <c r="AF129" s="68">
        <f t="shared" si="17"/>
        <v>0</v>
      </c>
      <c r="AG129" s="68">
        <f t="shared" si="18"/>
        <v>0</v>
      </c>
      <c r="AH129" s="68">
        <f t="shared" si="19"/>
        <v>0</v>
      </c>
      <c r="AI129" s="68">
        <f t="shared" si="20"/>
        <v>0</v>
      </c>
      <c r="AJ129" s="68">
        <f t="shared" si="21"/>
        <v>0</v>
      </c>
    </row>
    <row r="130" spans="1:36" ht="12.75">
      <c r="A130" s="14">
        <v>123</v>
      </c>
      <c r="B130" s="29" t="s">
        <v>301</v>
      </c>
      <c r="C130" s="7" t="s">
        <v>95</v>
      </c>
      <c r="D130" s="7" t="s">
        <v>303</v>
      </c>
      <c r="F130" s="38">
        <v>732.1665355910496</v>
      </c>
      <c r="G130" s="38">
        <f t="shared" si="14"/>
        <v>17</v>
      </c>
      <c r="H130" s="38">
        <f t="shared" si="22"/>
        <v>732.1665355910496</v>
      </c>
      <c r="I130" s="73"/>
      <c r="J130" s="73"/>
      <c r="K130" s="69">
        <v>0</v>
      </c>
      <c r="L130" s="69">
        <v>0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76">
        <v>93.32787556283239</v>
      </c>
      <c r="V130" s="76">
        <v>418.41726618705025</v>
      </c>
      <c r="W130" s="76">
        <v>220.421393841167</v>
      </c>
      <c r="X130" s="69">
        <v>0</v>
      </c>
      <c r="Y130" s="69">
        <v>0</v>
      </c>
      <c r="Z130" s="69">
        <v>0</v>
      </c>
      <c r="AA130" s="69">
        <v>0</v>
      </c>
      <c r="AB130" s="88"/>
      <c r="AC130" s="88"/>
      <c r="AD130" s="116">
        <f t="shared" si="15"/>
        <v>0</v>
      </c>
      <c r="AE130" s="68">
        <f t="shared" si="16"/>
        <v>0</v>
      </c>
      <c r="AF130" s="68">
        <f t="shared" si="17"/>
        <v>0</v>
      </c>
      <c r="AG130" s="68">
        <f t="shared" si="18"/>
        <v>0</v>
      </c>
      <c r="AH130" s="68">
        <f t="shared" si="19"/>
        <v>0</v>
      </c>
      <c r="AI130" s="68">
        <f t="shared" si="20"/>
        <v>0</v>
      </c>
      <c r="AJ130" s="68">
        <f t="shared" si="21"/>
        <v>0</v>
      </c>
    </row>
    <row r="131" spans="1:36" ht="12.75">
      <c r="A131" s="14">
        <v>124</v>
      </c>
      <c r="B131" s="9" t="s">
        <v>270</v>
      </c>
      <c r="C131" t="s">
        <v>10</v>
      </c>
      <c r="D131" t="s">
        <v>250</v>
      </c>
      <c r="E131" s="8">
        <v>1985</v>
      </c>
      <c r="F131" s="38">
        <v>0</v>
      </c>
      <c r="G131" s="38">
        <f t="shared" si="14"/>
        <v>17</v>
      </c>
      <c r="H131" s="38">
        <f t="shared" si="22"/>
        <v>0</v>
      </c>
      <c r="I131" s="73"/>
      <c r="J131" s="73"/>
      <c r="K131" s="69">
        <v>0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76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88"/>
      <c r="AC131" s="88"/>
      <c r="AD131" s="116">
        <f t="shared" si="15"/>
        <v>0</v>
      </c>
      <c r="AE131" s="68">
        <f t="shared" si="16"/>
        <v>0</v>
      </c>
      <c r="AF131" s="68">
        <f t="shared" si="17"/>
        <v>0</v>
      </c>
      <c r="AG131" s="68">
        <f t="shared" si="18"/>
        <v>0</v>
      </c>
      <c r="AH131" s="68">
        <f t="shared" si="19"/>
        <v>0</v>
      </c>
      <c r="AI131" s="68">
        <f t="shared" si="20"/>
        <v>0</v>
      </c>
      <c r="AJ131" s="68">
        <f t="shared" si="21"/>
        <v>0</v>
      </c>
    </row>
    <row r="132" spans="1:36" ht="12.75">
      <c r="A132" s="14">
        <v>125</v>
      </c>
      <c r="B132" s="9" t="s">
        <v>322</v>
      </c>
      <c r="C132"/>
      <c r="D132"/>
      <c r="F132" s="38">
        <v>0</v>
      </c>
      <c r="G132" s="38">
        <f t="shared" si="14"/>
        <v>17</v>
      </c>
      <c r="H132" s="38">
        <f t="shared" si="22"/>
        <v>0</v>
      </c>
      <c r="I132" s="73"/>
      <c r="J132" s="73"/>
      <c r="K132" s="69">
        <v>0</v>
      </c>
      <c r="L132" s="69">
        <v>0</v>
      </c>
      <c r="M132" s="69">
        <v>0</v>
      </c>
      <c r="N132" s="69">
        <v>0</v>
      </c>
      <c r="O132" s="69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10">
        <v>0</v>
      </c>
      <c r="AB132" s="88"/>
      <c r="AC132" s="88"/>
      <c r="AD132" s="116">
        <f t="shared" si="15"/>
        <v>0</v>
      </c>
      <c r="AE132" s="68">
        <f t="shared" si="16"/>
        <v>0</v>
      </c>
      <c r="AF132" s="68">
        <f t="shared" si="17"/>
        <v>0</v>
      </c>
      <c r="AG132" s="68">
        <f t="shared" si="18"/>
        <v>0</v>
      </c>
      <c r="AH132" s="68">
        <f t="shared" si="19"/>
        <v>0</v>
      </c>
      <c r="AI132" s="68">
        <f t="shared" si="20"/>
        <v>0</v>
      </c>
      <c r="AJ132" s="68">
        <f t="shared" si="21"/>
        <v>0</v>
      </c>
    </row>
    <row r="133" spans="1:36" ht="12.75">
      <c r="A133" s="14">
        <v>126</v>
      </c>
      <c r="B133" s="29" t="s">
        <v>236</v>
      </c>
      <c r="C133" s="7" t="s">
        <v>10</v>
      </c>
      <c r="D133" s="7" t="s">
        <v>163</v>
      </c>
      <c r="E133" s="8">
        <v>1969</v>
      </c>
      <c r="F133" s="38">
        <v>1045.7620925318242</v>
      </c>
      <c r="G133" s="38">
        <f t="shared" si="14"/>
        <v>17</v>
      </c>
      <c r="H133" s="38">
        <f t="shared" si="22"/>
        <v>1045.7620925318242</v>
      </c>
      <c r="I133" s="73"/>
      <c r="J133" s="73"/>
      <c r="K133" s="69">
        <v>0</v>
      </c>
      <c r="L133" s="69">
        <v>0</v>
      </c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76">
        <v>443.22344322344304</v>
      </c>
      <c r="S133" s="76">
        <v>602.5386493083811</v>
      </c>
      <c r="T133" s="69">
        <v>0</v>
      </c>
      <c r="U133" s="69">
        <v>0</v>
      </c>
      <c r="V133" s="69">
        <v>0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88"/>
      <c r="AC133" s="88"/>
      <c r="AD133" s="116">
        <f t="shared" si="15"/>
        <v>0</v>
      </c>
      <c r="AE133" s="68">
        <f t="shared" si="16"/>
        <v>0</v>
      </c>
      <c r="AF133" s="68">
        <f t="shared" si="17"/>
        <v>0</v>
      </c>
      <c r="AG133" s="68">
        <f t="shared" si="18"/>
        <v>0</v>
      </c>
      <c r="AH133" s="68">
        <f t="shared" si="19"/>
        <v>0</v>
      </c>
      <c r="AI133" s="68">
        <f t="shared" si="20"/>
        <v>0</v>
      </c>
      <c r="AJ133" s="68">
        <f t="shared" si="21"/>
        <v>0</v>
      </c>
    </row>
    <row r="134" spans="1:36" ht="12.75">
      <c r="A134" s="14">
        <v>127</v>
      </c>
      <c r="B134" s="29" t="s">
        <v>164</v>
      </c>
      <c r="C134" s="7" t="s">
        <v>10</v>
      </c>
      <c r="D134" s="7" t="s">
        <v>163</v>
      </c>
      <c r="E134" s="8">
        <v>1992</v>
      </c>
      <c r="F134" s="38">
        <v>917.347191289285</v>
      </c>
      <c r="G134" s="38">
        <f t="shared" si="14"/>
        <v>17</v>
      </c>
      <c r="H134" s="38">
        <f t="shared" si="22"/>
        <v>917.347191289285</v>
      </c>
      <c r="I134" s="73"/>
      <c r="J134" s="73"/>
      <c r="K134" s="69">
        <v>0</v>
      </c>
      <c r="L134" s="69">
        <v>0</v>
      </c>
      <c r="M134" s="69">
        <v>0</v>
      </c>
      <c r="N134" s="76">
        <v>917.347191289285</v>
      </c>
      <c r="O134" s="69">
        <v>0</v>
      </c>
      <c r="P134" s="69">
        <v>0</v>
      </c>
      <c r="Q134" s="69">
        <v>0</v>
      </c>
      <c r="R134" s="72">
        <v>0</v>
      </c>
      <c r="S134" s="72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88"/>
      <c r="AC134" s="88"/>
      <c r="AD134" s="116">
        <f t="shared" si="15"/>
        <v>0</v>
      </c>
      <c r="AE134" s="68">
        <f t="shared" si="16"/>
        <v>0</v>
      </c>
      <c r="AF134" s="68">
        <f t="shared" si="17"/>
        <v>0</v>
      </c>
      <c r="AG134" s="68">
        <f t="shared" si="18"/>
        <v>0</v>
      </c>
      <c r="AH134" s="68">
        <f t="shared" si="19"/>
        <v>0</v>
      </c>
      <c r="AI134" s="68">
        <f t="shared" si="20"/>
        <v>0</v>
      </c>
      <c r="AJ134" s="68">
        <f t="shared" si="21"/>
        <v>0</v>
      </c>
    </row>
    <row r="135" spans="1:36" ht="12.75">
      <c r="A135" s="14">
        <v>128</v>
      </c>
      <c r="B135" s="9" t="s">
        <v>82</v>
      </c>
      <c r="C135" s="7" t="s">
        <v>10</v>
      </c>
      <c r="D135" s="7" t="s">
        <v>83</v>
      </c>
      <c r="E135" s="8">
        <v>1959</v>
      </c>
      <c r="F135" s="38">
        <v>3530.419997748664</v>
      </c>
      <c r="G135" s="38">
        <f t="shared" si="14"/>
        <v>17</v>
      </c>
      <c r="H135" s="38">
        <f t="shared" si="22"/>
        <v>3530.419997748664</v>
      </c>
      <c r="I135" s="73"/>
      <c r="J135" s="73"/>
      <c r="K135" s="76">
        <v>582.6086956521739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70">
        <v>0</v>
      </c>
      <c r="S135" s="70">
        <v>0</v>
      </c>
      <c r="T135" s="76">
        <v>542.0956553486674</v>
      </c>
      <c r="U135" s="76">
        <v>599.0065359477125</v>
      </c>
      <c r="V135" s="76">
        <v>575.7533286615276</v>
      </c>
      <c r="W135" s="76">
        <v>649.3966210780368</v>
      </c>
      <c r="X135" s="70">
        <v>0</v>
      </c>
      <c r="Y135" s="70">
        <v>0</v>
      </c>
      <c r="Z135" s="70">
        <v>0</v>
      </c>
      <c r="AA135" s="10">
        <v>581.5591610605462</v>
      </c>
      <c r="AB135" s="88"/>
      <c r="AC135" s="88"/>
      <c r="AD135" s="116">
        <f t="shared" si="15"/>
        <v>0</v>
      </c>
      <c r="AE135" s="68">
        <f t="shared" si="16"/>
        <v>0</v>
      </c>
      <c r="AF135" s="68">
        <f t="shared" si="17"/>
        <v>0</v>
      </c>
      <c r="AG135" s="68">
        <f t="shared" si="18"/>
        <v>0</v>
      </c>
      <c r="AH135" s="68">
        <f t="shared" si="19"/>
        <v>0</v>
      </c>
      <c r="AI135" s="68">
        <f t="shared" si="20"/>
        <v>0</v>
      </c>
      <c r="AJ135" s="68">
        <f t="shared" si="21"/>
        <v>0</v>
      </c>
    </row>
    <row r="136" spans="1:36" ht="12.75">
      <c r="A136" s="14">
        <v>129</v>
      </c>
      <c r="B136" s="9" t="s">
        <v>61</v>
      </c>
      <c r="C136" s="7" t="s">
        <v>10</v>
      </c>
      <c r="D136" s="7" t="s">
        <v>62</v>
      </c>
      <c r="E136" s="8">
        <v>1997</v>
      </c>
      <c r="F136" s="38">
        <v>714.066496163683</v>
      </c>
      <c r="G136" s="38">
        <f t="shared" si="14"/>
        <v>17</v>
      </c>
      <c r="H136" s="38">
        <f aca="true" t="shared" si="23" ref="H136:H159">F136-AD136</f>
        <v>714.066496163683</v>
      </c>
      <c r="I136" s="73"/>
      <c r="J136" s="73"/>
      <c r="K136" s="76">
        <v>714.066496163683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88"/>
      <c r="AC136" s="88"/>
      <c r="AD136" s="116">
        <f t="shared" si="15"/>
        <v>0</v>
      </c>
      <c r="AE136" s="68">
        <f t="shared" si="16"/>
        <v>0</v>
      </c>
      <c r="AF136" s="68">
        <f t="shared" si="17"/>
        <v>0</v>
      </c>
      <c r="AG136" s="68">
        <f t="shared" si="18"/>
        <v>0</v>
      </c>
      <c r="AH136" s="68">
        <f t="shared" si="19"/>
        <v>0</v>
      </c>
      <c r="AI136" s="68">
        <f t="shared" si="20"/>
        <v>0</v>
      </c>
      <c r="AJ136" s="68">
        <f t="shared" si="21"/>
        <v>0</v>
      </c>
    </row>
    <row r="137" spans="1:36" ht="12.75">
      <c r="A137" s="14">
        <v>130</v>
      </c>
      <c r="B137" s="9" t="s">
        <v>63</v>
      </c>
      <c r="C137" s="7" t="s">
        <v>10</v>
      </c>
      <c r="D137" s="7" t="s">
        <v>62</v>
      </c>
      <c r="E137" s="8">
        <v>1960</v>
      </c>
      <c r="F137" s="38">
        <v>0</v>
      </c>
      <c r="G137" s="38">
        <f aca="true" t="shared" si="24" ref="G137:G159">COUNTA(K137,L137,M137,N137,O137,P137,Q137,R137,S137,T137,U137,V137,W137,X137,Y137,Z137,AA137,AB137,AC137)</f>
        <v>17</v>
      </c>
      <c r="H137" s="38">
        <f t="shared" si="23"/>
        <v>0</v>
      </c>
      <c r="I137" s="73"/>
      <c r="J137" s="73"/>
      <c r="K137" s="76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88"/>
      <c r="AC137" s="88"/>
      <c r="AD137" s="116">
        <f aca="true" t="shared" si="25" ref="AD137:AD153">SUM(AE137:AJ137)</f>
        <v>0</v>
      </c>
      <c r="AE137" s="68">
        <f aca="true" t="shared" si="26" ref="AE137:AE152">SMALL(K137:AC137,1)</f>
        <v>0</v>
      </c>
      <c r="AF137" s="68">
        <f aca="true" t="shared" si="27" ref="AF137:AF152">SMALL(K137:AC137,2)</f>
        <v>0</v>
      </c>
      <c r="AG137" s="68">
        <f aca="true" t="shared" si="28" ref="AG137:AG152">SMALL(K137:AC137,3)</f>
        <v>0</v>
      </c>
      <c r="AH137" s="68">
        <f aca="true" t="shared" si="29" ref="AH137:AH152">SMALL(K137:AC137,4)</f>
        <v>0</v>
      </c>
      <c r="AI137" s="68">
        <f aca="true" t="shared" si="30" ref="AI137:AI152">SMALL(K137:AC137,5)</f>
        <v>0</v>
      </c>
      <c r="AJ137" s="68">
        <f aca="true" t="shared" si="31" ref="AJ137:AJ152">SMALL(K137:AC137,6)</f>
        <v>0</v>
      </c>
    </row>
    <row r="138" spans="1:36" ht="12.75">
      <c r="A138" s="14">
        <v>131</v>
      </c>
      <c r="B138" s="9" t="s">
        <v>338</v>
      </c>
      <c r="F138" s="38">
        <v>814.5006471095771</v>
      </c>
      <c r="G138" s="38">
        <f t="shared" si="24"/>
        <v>17</v>
      </c>
      <c r="H138" s="38">
        <f t="shared" si="23"/>
        <v>814.5006471095771</v>
      </c>
      <c r="I138" s="73"/>
      <c r="J138" s="73"/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10">
        <v>814.5006471095771</v>
      </c>
      <c r="AB138" s="88"/>
      <c r="AC138" s="88"/>
      <c r="AD138" s="116">
        <f t="shared" si="25"/>
        <v>0</v>
      </c>
      <c r="AE138" s="68">
        <f t="shared" si="26"/>
        <v>0</v>
      </c>
      <c r="AF138" s="68">
        <f t="shared" si="27"/>
        <v>0</v>
      </c>
      <c r="AG138" s="68">
        <f t="shared" si="28"/>
        <v>0</v>
      </c>
      <c r="AH138" s="68">
        <f t="shared" si="29"/>
        <v>0</v>
      </c>
      <c r="AI138" s="68">
        <f t="shared" si="30"/>
        <v>0</v>
      </c>
      <c r="AJ138" s="68">
        <f t="shared" si="31"/>
        <v>0</v>
      </c>
    </row>
    <row r="139" spans="1:36" ht="12.75">
      <c r="A139" s="14">
        <v>132</v>
      </c>
      <c r="B139" s="29" t="s">
        <v>212</v>
      </c>
      <c r="C139" s="7" t="s">
        <v>10</v>
      </c>
      <c r="D139" s="7" t="s">
        <v>192</v>
      </c>
      <c r="E139" s="8">
        <v>2003</v>
      </c>
      <c r="F139" s="38">
        <v>1169.536443792595</v>
      </c>
      <c r="G139" s="38">
        <f t="shared" si="24"/>
        <v>17</v>
      </c>
      <c r="H139" s="38">
        <f t="shared" si="23"/>
        <v>1169.536443792595</v>
      </c>
      <c r="I139" s="73"/>
      <c r="J139" s="73"/>
      <c r="K139" s="69">
        <v>0</v>
      </c>
      <c r="L139" s="69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76">
        <v>387.7858176555718</v>
      </c>
      <c r="S139" s="76">
        <v>399.4913530010172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10">
        <v>382.259273136006</v>
      </c>
      <c r="AB139" s="88"/>
      <c r="AC139" s="88"/>
      <c r="AD139" s="116">
        <f t="shared" si="25"/>
        <v>0</v>
      </c>
      <c r="AE139" s="68">
        <f t="shared" si="26"/>
        <v>0</v>
      </c>
      <c r="AF139" s="68">
        <f t="shared" si="27"/>
        <v>0</v>
      </c>
      <c r="AG139" s="68">
        <f t="shared" si="28"/>
        <v>0</v>
      </c>
      <c r="AH139" s="68">
        <f t="shared" si="29"/>
        <v>0</v>
      </c>
      <c r="AI139" s="68">
        <f t="shared" si="30"/>
        <v>0</v>
      </c>
      <c r="AJ139" s="68">
        <f t="shared" si="31"/>
        <v>0</v>
      </c>
    </row>
    <row r="140" spans="1:36" ht="12.75">
      <c r="A140" s="14">
        <v>133</v>
      </c>
      <c r="B140" s="29" t="s">
        <v>213</v>
      </c>
      <c r="C140" s="7" t="s">
        <v>10</v>
      </c>
      <c r="D140" s="7" t="s">
        <v>215</v>
      </c>
      <c r="E140" s="8">
        <v>2002</v>
      </c>
      <c r="F140" s="38">
        <v>960.8027341539023</v>
      </c>
      <c r="G140" s="38">
        <f t="shared" si="24"/>
        <v>17</v>
      </c>
      <c r="H140" s="38">
        <f t="shared" si="23"/>
        <v>960.8027341539023</v>
      </c>
      <c r="I140" s="73"/>
      <c r="J140" s="73"/>
      <c r="K140" s="69">
        <v>0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76">
        <v>0</v>
      </c>
      <c r="S140" s="76">
        <v>412.08036622583927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10">
        <v>548.722367928063</v>
      </c>
      <c r="AB140" s="88"/>
      <c r="AC140" s="88"/>
      <c r="AD140" s="116">
        <f t="shared" si="25"/>
        <v>0</v>
      </c>
      <c r="AE140" s="68">
        <f t="shared" si="26"/>
        <v>0</v>
      </c>
      <c r="AF140" s="68">
        <f t="shared" si="27"/>
        <v>0</v>
      </c>
      <c r="AG140" s="68">
        <f t="shared" si="28"/>
        <v>0</v>
      </c>
      <c r="AH140" s="68">
        <f t="shared" si="29"/>
        <v>0</v>
      </c>
      <c r="AI140" s="68">
        <f t="shared" si="30"/>
        <v>0</v>
      </c>
      <c r="AJ140" s="68">
        <f t="shared" si="31"/>
        <v>0</v>
      </c>
    </row>
    <row r="141" spans="1:36" ht="12.75">
      <c r="A141" s="14">
        <v>134</v>
      </c>
      <c r="B141" s="29" t="s">
        <v>232</v>
      </c>
      <c r="C141" s="7" t="s">
        <v>10</v>
      </c>
      <c r="D141" s="7" t="s">
        <v>215</v>
      </c>
      <c r="E141" s="8">
        <v>1970</v>
      </c>
      <c r="F141" s="38">
        <v>403.4676434676434</v>
      </c>
      <c r="G141" s="38">
        <f t="shared" si="24"/>
        <v>17</v>
      </c>
      <c r="H141" s="38">
        <f t="shared" si="23"/>
        <v>403.4676434676434</v>
      </c>
      <c r="I141" s="73"/>
      <c r="J141" s="73"/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76">
        <v>403.4676434676434</v>
      </c>
      <c r="S141" s="76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88"/>
      <c r="AC141" s="88"/>
      <c r="AD141" s="116">
        <f t="shared" si="25"/>
        <v>0</v>
      </c>
      <c r="AE141" s="68">
        <f t="shared" si="26"/>
        <v>0</v>
      </c>
      <c r="AF141" s="68">
        <f t="shared" si="27"/>
        <v>0</v>
      </c>
      <c r="AG141" s="68">
        <f t="shared" si="28"/>
        <v>0</v>
      </c>
      <c r="AH141" s="68">
        <f t="shared" si="29"/>
        <v>0</v>
      </c>
      <c r="AI141" s="68">
        <f t="shared" si="30"/>
        <v>0</v>
      </c>
      <c r="AJ141" s="68">
        <f t="shared" si="31"/>
        <v>0</v>
      </c>
    </row>
    <row r="142" spans="1:36" ht="12.75">
      <c r="A142" s="14">
        <v>135</v>
      </c>
      <c r="B142" s="9" t="s">
        <v>271</v>
      </c>
      <c r="C142" t="s">
        <v>10</v>
      </c>
      <c r="D142" t="s">
        <v>215</v>
      </c>
      <c r="E142" s="8">
        <v>1977</v>
      </c>
      <c r="F142" s="38">
        <v>697.8814087718499</v>
      </c>
      <c r="G142" s="38">
        <f t="shared" si="24"/>
        <v>17</v>
      </c>
      <c r="H142" s="38">
        <f t="shared" si="23"/>
        <v>697.8814087718499</v>
      </c>
      <c r="I142" s="73"/>
      <c r="J142" s="73"/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76">
        <v>80.132450331126</v>
      </c>
      <c r="S142" s="76">
        <v>324.3474714518763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10">
        <v>293.40148698884764</v>
      </c>
      <c r="AB142" s="88"/>
      <c r="AC142" s="88"/>
      <c r="AD142" s="116">
        <f t="shared" si="25"/>
        <v>0</v>
      </c>
      <c r="AE142" s="68">
        <f t="shared" si="26"/>
        <v>0</v>
      </c>
      <c r="AF142" s="68">
        <f t="shared" si="27"/>
        <v>0</v>
      </c>
      <c r="AG142" s="68">
        <f t="shared" si="28"/>
        <v>0</v>
      </c>
      <c r="AH142" s="68">
        <f t="shared" si="29"/>
        <v>0</v>
      </c>
      <c r="AI142" s="68">
        <f t="shared" si="30"/>
        <v>0</v>
      </c>
      <c r="AJ142" s="68">
        <f t="shared" si="31"/>
        <v>0</v>
      </c>
    </row>
    <row r="143" spans="1:36" ht="12.75">
      <c r="A143" s="14">
        <v>136</v>
      </c>
      <c r="B143" s="29" t="s">
        <v>281</v>
      </c>
      <c r="C143" s="7" t="s">
        <v>10</v>
      </c>
      <c r="D143" s="7" t="s">
        <v>69</v>
      </c>
      <c r="E143" s="63"/>
      <c r="F143" s="38">
        <v>0</v>
      </c>
      <c r="G143" s="38">
        <f t="shared" si="24"/>
        <v>17</v>
      </c>
      <c r="H143" s="38">
        <f t="shared" si="23"/>
        <v>0</v>
      </c>
      <c r="I143" s="73"/>
      <c r="J143" s="73"/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76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88"/>
      <c r="AC143" s="88"/>
      <c r="AD143" s="116">
        <f t="shared" si="25"/>
        <v>0</v>
      </c>
      <c r="AE143" s="68">
        <f t="shared" si="26"/>
        <v>0</v>
      </c>
      <c r="AF143" s="68">
        <f t="shared" si="27"/>
        <v>0</v>
      </c>
      <c r="AG143" s="68">
        <f t="shared" si="28"/>
        <v>0</v>
      </c>
      <c r="AH143" s="68">
        <f t="shared" si="29"/>
        <v>0</v>
      </c>
      <c r="AI143" s="68">
        <f t="shared" si="30"/>
        <v>0</v>
      </c>
      <c r="AJ143" s="68">
        <f t="shared" si="31"/>
        <v>0</v>
      </c>
    </row>
    <row r="144" spans="1:36" ht="12.75">
      <c r="A144" s="14">
        <v>137</v>
      </c>
      <c r="B144" s="9" t="s">
        <v>30</v>
      </c>
      <c r="C144" s="7" t="s">
        <v>10</v>
      </c>
      <c r="D144" s="7" t="s">
        <v>31</v>
      </c>
      <c r="E144" s="63">
        <v>1974</v>
      </c>
      <c r="F144" s="38">
        <v>4018.7986670800824</v>
      </c>
      <c r="G144" s="38">
        <f t="shared" si="24"/>
        <v>17</v>
      </c>
      <c r="H144" s="38">
        <f t="shared" si="23"/>
        <v>4018.7986670800824</v>
      </c>
      <c r="I144" s="73"/>
      <c r="J144" s="73"/>
      <c r="K144" s="76">
        <v>844.7844228094574</v>
      </c>
      <c r="L144" s="76">
        <v>0</v>
      </c>
      <c r="M144" s="76">
        <v>0</v>
      </c>
      <c r="N144" s="76">
        <v>682.3640661938535</v>
      </c>
      <c r="O144" s="72">
        <v>0</v>
      </c>
      <c r="P144" s="72">
        <v>0</v>
      </c>
      <c r="Q144" s="72">
        <v>0</v>
      </c>
      <c r="R144" s="76">
        <v>880</v>
      </c>
      <c r="S144" s="76">
        <v>880</v>
      </c>
      <c r="T144" s="71">
        <v>0</v>
      </c>
      <c r="U144" s="71">
        <v>0</v>
      </c>
      <c r="V144" s="71">
        <v>0</v>
      </c>
      <c r="W144" s="71">
        <v>0</v>
      </c>
      <c r="X144" s="70">
        <v>0</v>
      </c>
      <c r="Y144" s="70">
        <v>0</v>
      </c>
      <c r="Z144" s="70">
        <v>0</v>
      </c>
      <c r="AA144" s="10">
        <v>731.6501780767711</v>
      </c>
      <c r="AB144" s="88"/>
      <c r="AC144" s="88"/>
      <c r="AD144" s="116">
        <f t="shared" si="25"/>
        <v>0</v>
      </c>
      <c r="AE144" s="68">
        <f t="shared" si="26"/>
        <v>0</v>
      </c>
      <c r="AF144" s="68">
        <f t="shared" si="27"/>
        <v>0</v>
      </c>
      <c r="AG144" s="68">
        <f t="shared" si="28"/>
        <v>0</v>
      </c>
      <c r="AH144" s="68">
        <f t="shared" si="29"/>
        <v>0</v>
      </c>
      <c r="AI144" s="68">
        <f t="shared" si="30"/>
        <v>0</v>
      </c>
      <c r="AJ144" s="68">
        <f t="shared" si="31"/>
        <v>0</v>
      </c>
    </row>
    <row r="145" spans="1:36" ht="12.75">
      <c r="A145" s="14">
        <v>138</v>
      </c>
      <c r="B145" s="29" t="s">
        <v>233</v>
      </c>
      <c r="C145" s="7" t="s">
        <v>10</v>
      </c>
      <c r="D145" s="7" t="s">
        <v>235</v>
      </c>
      <c r="E145" s="63">
        <v>1969</v>
      </c>
      <c r="F145" s="38">
        <v>1378.6282860977735</v>
      </c>
      <c r="G145" s="38">
        <f t="shared" si="24"/>
        <v>17</v>
      </c>
      <c r="H145" s="38">
        <f t="shared" si="23"/>
        <v>1378.6282860977735</v>
      </c>
      <c r="I145" s="73"/>
      <c r="J145" s="73"/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76">
        <v>668.3272283272283</v>
      </c>
      <c r="S145" s="76">
        <v>710.3010577705451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88"/>
      <c r="AC145" s="88"/>
      <c r="AD145" s="116">
        <f t="shared" si="25"/>
        <v>0</v>
      </c>
      <c r="AE145" s="68">
        <f t="shared" si="26"/>
        <v>0</v>
      </c>
      <c r="AF145" s="68">
        <f t="shared" si="27"/>
        <v>0</v>
      </c>
      <c r="AG145" s="68">
        <f t="shared" si="28"/>
        <v>0</v>
      </c>
      <c r="AH145" s="68">
        <f t="shared" si="29"/>
        <v>0</v>
      </c>
      <c r="AI145" s="68">
        <f t="shared" si="30"/>
        <v>0</v>
      </c>
      <c r="AJ145" s="68">
        <f t="shared" si="31"/>
        <v>0</v>
      </c>
    </row>
    <row r="146" spans="1:36" ht="12.75">
      <c r="A146" s="14">
        <v>139</v>
      </c>
      <c r="B146" s="29" t="s">
        <v>214</v>
      </c>
      <c r="C146" s="7" t="s">
        <v>10</v>
      </c>
      <c r="D146" s="7" t="s">
        <v>69</v>
      </c>
      <c r="E146" s="63"/>
      <c r="F146" s="38">
        <v>0</v>
      </c>
      <c r="G146" s="38">
        <f t="shared" si="24"/>
        <v>17</v>
      </c>
      <c r="H146" s="38">
        <f t="shared" si="23"/>
        <v>0</v>
      </c>
      <c r="I146" s="73"/>
      <c r="J146" s="73"/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76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88"/>
      <c r="AC146" s="88"/>
      <c r="AD146" s="116">
        <f t="shared" si="25"/>
        <v>0</v>
      </c>
      <c r="AE146" s="68">
        <f t="shared" si="26"/>
        <v>0</v>
      </c>
      <c r="AF146" s="68">
        <f t="shared" si="27"/>
        <v>0</v>
      </c>
      <c r="AG146" s="68">
        <f t="shared" si="28"/>
        <v>0</v>
      </c>
      <c r="AH146" s="68">
        <f t="shared" si="29"/>
        <v>0</v>
      </c>
      <c r="AI146" s="68">
        <f t="shared" si="30"/>
        <v>0</v>
      </c>
      <c r="AJ146" s="68">
        <f t="shared" si="31"/>
        <v>0</v>
      </c>
    </row>
    <row r="147" spans="1:36" ht="12.75">
      <c r="A147" s="14">
        <v>140</v>
      </c>
      <c r="B147" s="29" t="s">
        <v>306</v>
      </c>
      <c r="C147" s="7" t="s">
        <v>10</v>
      </c>
      <c r="D147" s="7" t="s">
        <v>307</v>
      </c>
      <c r="E147" s="63"/>
      <c r="F147" s="38">
        <v>785.148524191668</v>
      </c>
      <c r="G147" s="38">
        <f t="shared" si="24"/>
        <v>17</v>
      </c>
      <c r="H147" s="38">
        <f t="shared" si="23"/>
        <v>785.148524191668</v>
      </c>
      <c r="I147" s="73"/>
      <c r="J147" s="73"/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76">
        <v>61.36548360877819</v>
      </c>
      <c r="U147" s="76">
        <v>278.10007251631595</v>
      </c>
      <c r="V147" s="76">
        <v>159.64063579820325</v>
      </c>
      <c r="W147" s="76">
        <v>286.04233226837067</v>
      </c>
      <c r="X147" s="69">
        <v>0</v>
      </c>
      <c r="Y147" s="69">
        <v>0</v>
      </c>
      <c r="Z147" s="69">
        <v>0</v>
      </c>
      <c r="AA147" s="69">
        <v>0</v>
      </c>
      <c r="AB147" s="88"/>
      <c r="AC147" s="88"/>
      <c r="AD147" s="116">
        <f t="shared" si="25"/>
        <v>0</v>
      </c>
      <c r="AE147" s="68">
        <f t="shared" si="26"/>
        <v>0</v>
      </c>
      <c r="AF147" s="68">
        <f t="shared" si="27"/>
        <v>0</v>
      </c>
      <c r="AG147" s="68">
        <f t="shared" si="28"/>
        <v>0</v>
      </c>
      <c r="AH147" s="68">
        <f t="shared" si="29"/>
        <v>0</v>
      </c>
      <c r="AI147" s="68">
        <f t="shared" si="30"/>
        <v>0</v>
      </c>
      <c r="AJ147" s="68">
        <f t="shared" si="31"/>
        <v>0</v>
      </c>
    </row>
    <row r="148" spans="1:36" ht="12.75">
      <c r="A148" s="14">
        <v>141</v>
      </c>
      <c r="B148" s="9" t="s">
        <v>274</v>
      </c>
      <c r="C148" t="s">
        <v>10</v>
      </c>
      <c r="D148" t="s">
        <v>101</v>
      </c>
      <c r="E148" s="63">
        <v>1983</v>
      </c>
      <c r="F148" s="38">
        <v>1164.2254464526866</v>
      </c>
      <c r="G148" s="38">
        <f t="shared" si="24"/>
        <v>17</v>
      </c>
      <c r="H148" s="38">
        <f t="shared" si="23"/>
        <v>1164.2254464526866</v>
      </c>
      <c r="I148" s="73"/>
      <c r="J148" s="73"/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76">
        <v>496.68874172185434</v>
      </c>
      <c r="S148" s="76">
        <v>667.5367047308323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88"/>
      <c r="AC148" s="88"/>
      <c r="AD148" s="116">
        <f t="shared" si="25"/>
        <v>0</v>
      </c>
      <c r="AE148" s="68">
        <f t="shared" si="26"/>
        <v>0</v>
      </c>
      <c r="AF148" s="68">
        <f t="shared" si="27"/>
        <v>0</v>
      </c>
      <c r="AG148" s="68">
        <f t="shared" si="28"/>
        <v>0</v>
      </c>
      <c r="AH148" s="68">
        <f t="shared" si="29"/>
        <v>0</v>
      </c>
      <c r="AI148" s="68">
        <f t="shared" si="30"/>
        <v>0</v>
      </c>
      <c r="AJ148" s="68">
        <f t="shared" si="31"/>
        <v>0</v>
      </c>
    </row>
    <row r="149" spans="1:36" ht="12.75">
      <c r="A149" s="14">
        <v>142</v>
      </c>
      <c r="B149" s="9" t="s">
        <v>275</v>
      </c>
      <c r="C149" t="s">
        <v>187</v>
      </c>
      <c r="D149" t="s">
        <v>276</v>
      </c>
      <c r="E149" s="63">
        <v>1978</v>
      </c>
      <c r="F149" s="38">
        <v>5901.5042197314215</v>
      </c>
      <c r="G149" s="38">
        <f t="shared" si="24"/>
        <v>17</v>
      </c>
      <c r="H149" s="38">
        <f t="shared" si="23"/>
        <v>5901.5042197314215</v>
      </c>
      <c r="I149" s="73"/>
      <c r="J149" s="73"/>
      <c r="K149" s="69">
        <v>0</v>
      </c>
      <c r="L149" s="69">
        <v>0</v>
      </c>
      <c r="M149" s="69">
        <v>0</v>
      </c>
      <c r="N149" s="69">
        <v>0</v>
      </c>
      <c r="O149" s="76">
        <v>860.7367475292004</v>
      </c>
      <c r="P149" s="76">
        <v>774.1502962270033</v>
      </c>
      <c r="Q149" s="75">
        <v>916.6238617791267</v>
      </c>
      <c r="R149" s="76">
        <v>765.5629139072847</v>
      </c>
      <c r="S149" s="76">
        <v>954.6492659053835</v>
      </c>
      <c r="T149" s="71">
        <v>0</v>
      </c>
      <c r="U149" s="71">
        <v>0</v>
      </c>
      <c r="V149" s="71">
        <v>0</v>
      </c>
      <c r="W149" s="71">
        <v>0</v>
      </c>
      <c r="X149" s="76">
        <v>944.0272028385571</v>
      </c>
      <c r="Y149" s="47">
        <v>685.7539315448658</v>
      </c>
      <c r="Z149" s="72">
        <v>0</v>
      </c>
      <c r="AA149" s="69">
        <v>0</v>
      </c>
      <c r="AB149" s="88"/>
      <c r="AC149" s="88"/>
      <c r="AD149" s="116">
        <f t="shared" si="25"/>
        <v>0</v>
      </c>
      <c r="AE149" s="68">
        <f t="shared" si="26"/>
        <v>0</v>
      </c>
      <c r="AF149" s="68">
        <f t="shared" si="27"/>
        <v>0</v>
      </c>
      <c r="AG149" s="68">
        <f t="shared" si="28"/>
        <v>0</v>
      </c>
      <c r="AH149" s="68">
        <f t="shared" si="29"/>
        <v>0</v>
      </c>
      <c r="AI149" s="68">
        <f t="shared" si="30"/>
        <v>0</v>
      </c>
      <c r="AJ149" s="68">
        <f t="shared" si="31"/>
        <v>0</v>
      </c>
    </row>
    <row r="150" spans="1:36" ht="12.75">
      <c r="A150" s="14">
        <v>143</v>
      </c>
      <c r="B150" s="9" t="s">
        <v>32</v>
      </c>
      <c r="C150" s="7" t="s">
        <v>10</v>
      </c>
      <c r="D150" s="7" t="s">
        <v>33</v>
      </c>
      <c r="E150" s="63">
        <v>1974</v>
      </c>
      <c r="F150" s="38">
        <v>3566.1504444360867</v>
      </c>
      <c r="G150" s="38">
        <f t="shared" si="24"/>
        <v>17</v>
      </c>
      <c r="H150" s="38">
        <f t="shared" si="23"/>
        <v>3566.1504444360867</v>
      </c>
      <c r="I150" s="73"/>
      <c r="J150" s="73"/>
      <c r="K150" s="76">
        <v>10</v>
      </c>
      <c r="L150" s="76">
        <v>0</v>
      </c>
      <c r="M150" s="76">
        <v>354.69026548672565</v>
      </c>
      <c r="N150" s="72">
        <v>0</v>
      </c>
      <c r="O150" s="76">
        <v>255.22788203753316</v>
      </c>
      <c r="P150" s="76">
        <v>274.6420006851663</v>
      </c>
      <c r="Q150" s="76">
        <v>519.826625386997</v>
      </c>
      <c r="R150" s="72">
        <v>0</v>
      </c>
      <c r="S150" s="72">
        <v>0</v>
      </c>
      <c r="T150" s="76">
        <v>547.93720335889</v>
      </c>
      <c r="U150" s="76">
        <v>0</v>
      </c>
      <c r="V150" s="76">
        <v>244.989488437281</v>
      </c>
      <c r="W150" s="76">
        <v>561.8664521319388</v>
      </c>
      <c r="X150" s="76">
        <v>431.8146718146717</v>
      </c>
      <c r="Y150" s="76">
        <v>365.15585509688304</v>
      </c>
      <c r="Z150" s="76">
        <v>0</v>
      </c>
      <c r="AA150" s="69">
        <v>0</v>
      </c>
      <c r="AB150" s="88"/>
      <c r="AC150" s="88"/>
      <c r="AD150" s="116">
        <f t="shared" si="25"/>
        <v>0</v>
      </c>
      <c r="AE150" s="68">
        <f t="shared" si="26"/>
        <v>0</v>
      </c>
      <c r="AF150" s="68">
        <f t="shared" si="27"/>
        <v>0</v>
      </c>
      <c r="AG150" s="68">
        <f t="shared" si="28"/>
        <v>0</v>
      </c>
      <c r="AH150" s="68">
        <f t="shared" si="29"/>
        <v>0</v>
      </c>
      <c r="AI150" s="68">
        <f t="shared" si="30"/>
        <v>0</v>
      </c>
      <c r="AJ150" s="68">
        <f t="shared" si="31"/>
        <v>0</v>
      </c>
    </row>
    <row r="151" spans="1:36" ht="12.75">
      <c r="A151" s="14">
        <v>144</v>
      </c>
      <c r="B151" s="9" t="s">
        <v>323</v>
      </c>
      <c r="E151" s="63"/>
      <c r="F151" s="38">
        <v>718.7653343886033</v>
      </c>
      <c r="G151" s="38">
        <f t="shared" si="24"/>
        <v>17</v>
      </c>
      <c r="H151" s="38">
        <f t="shared" si="23"/>
        <v>718.7653343886033</v>
      </c>
      <c r="I151" s="73"/>
      <c r="J151" s="73"/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0</v>
      </c>
      <c r="Q151" s="69">
        <v>0</v>
      </c>
      <c r="R151" s="69">
        <v>0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10">
        <v>718.7653343886033</v>
      </c>
      <c r="AB151" s="88"/>
      <c r="AC151" s="88"/>
      <c r="AD151" s="116">
        <f t="shared" si="25"/>
        <v>0</v>
      </c>
      <c r="AE151" s="68">
        <f t="shared" si="26"/>
        <v>0</v>
      </c>
      <c r="AF151" s="68">
        <f t="shared" si="27"/>
        <v>0</v>
      </c>
      <c r="AG151" s="68">
        <f t="shared" si="28"/>
        <v>0</v>
      </c>
      <c r="AH151" s="68">
        <f t="shared" si="29"/>
        <v>0</v>
      </c>
      <c r="AI151" s="68">
        <f t="shared" si="30"/>
        <v>0</v>
      </c>
      <c r="AJ151" s="68">
        <f t="shared" si="31"/>
        <v>0</v>
      </c>
    </row>
    <row r="152" spans="1:36" ht="12.75">
      <c r="A152" s="14">
        <v>145</v>
      </c>
      <c r="B152" s="9" t="s">
        <v>277</v>
      </c>
      <c r="C152" t="s">
        <v>187</v>
      </c>
      <c r="D152" t="s">
        <v>278</v>
      </c>
      <c r="E152" s="63">
        <v>1971</v>
      </c>
      <c r="F152" s="38">
        <v>4392.865038755634</v>
      </c>
      <c r="G152" s="38">
        <f t="shared" si="24"/>
        <v>17</v>
      </c>
      <c r="H152" s="38">
        <f t="shared" si="23"/>
        <v>4392.865038755634</v>
      </c>
      <c r="I152" s="73"/>
      <c r="J152" s="73"/>
      <c r="K152" s="69">
        <v>0</v>
      </c>
      <c r="L152" s="69">
        <v>0</v>
      </c>
      <c r="M152" s="69">
        <v>0</v>
      </c>
      <c r="N152" s="69">
        <v>0</v>
      </c>
      <c r="O152" s="76">
        <v>844.5642407906562</v>
      </c>
      <c r="P152" s="76">
        <v>846.5232304334271</v>
      </c>
      <c r="Q152" s="75">
        <v>903.5255661919214</v>
      </c>
      <c r="R152" s="76">
        <v>892.0529801324506</v>
      </c>
      <c r="S152" s="76">
        <v>906.1990212071778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88"/>
      <c r="AC152" s="88"/>
      <c r="AD152" s="116">
        <f t="shared" si="25"/>
        <v>0</v>
      </c>
      <c r="AE152" s="68">
        <f t="shared" si="26"/>
        <v>0</v>
      </c>
      <c r="AF152" s="68">
        <f t="shared" si="27"/>
        <v>0</v>
      </c>
      <c r="AG152" s="68">
        <f t="shared" si="28"/>
        <v>0</v>
      </c>
      <c r="AH152" s="68">
        <f t="shared" si="29"/>
        <v>0</v>
      </c>
      <c r="AI152" s="68">
        <f t="shared" si="30"/>
        <v>0</v>
      </c>
      <c r="AJ152" s="68">
        <f t="shared" si="31"/>
        <v>0</v>
      </c>
    </row>
    <row r="153" spans="1:36" ht="12.75">
      <c r="A153" s="14">
        <v>146</v>
      </c>
      <c r="B153" s="9" t="s">
        <v>141</v>
      </c>
      <c r="C153" s="7" t="s">
        <v>131</v>
      </c>
      <c r="D153" s="7" t="s">
        <v>142</v>
      </c>
      <c r="F153" s="38">
        <v>3378.483864344037</v>
      </c>
      <c r="G153" s="38">
        <f t="shared" si="24"/>
        <v>17</v>
      </c>
      <c r="H153" s="38">
        <f t="shared" si="23"/>
        <v>3378.483864344037</v>
      </c>
      <c r="I153" s="90"/>
      <c r="J153" s="90"/>
      <c r="K153" s="72">
        <v>0</v>
      </c>
      <c r="L153" s="76">
        <v>360.4790419161677</v>
      </c>
      <c r="M153" s="76">
        <v>258.0162354134957</v>
      </c>
      <c r="N153" s="76">
        <v>603.2286469034341</v>
      </c>
      <c r="O153" s="72">
        <v>0</v>
      </c>
      <c r="P153" s="72">
        <v>0</v>
      </c>
      <c r="Q153" s="72">
        <v>0</v>
      </c>
      <c r="R153" s="76">
        <v>10</v>
      </c>
      <c r="S153" s="76">
        <v>501.22953558302703</v>
      </c>
      <c r="T153" s="76">
        <v>10</v>
      </c>
      <c r="U153" s="76">
        <v>715.5547498187092</v>
      </c>
      <c r="V153" s="76">
        <v>491.36143745680715</v>
      </c>
      <c r="W153" s="76">
        <v>428.61421725239614</v>
      </c>
      <c r="X153" s="71">
        <v>0</v>
      </c>
      <c r="Y153" s="71">
        <v>0</v>
      </c>
      <c r="Z153" s="71">
        <v>0</v>
      </c>
      <c r="AA153" s="92">
        <v>0</v>
      </c>
      <c r="AB153" s="88"/>
      <c r="AC153" s="88"/>
      <c r="AD153" s="116">
        <f t="shared" si="25"/>
        <v>0</v>
      </c>
      <c r="AE153" s="68">
        <f>SMALL(K153:AC153,1)</f>
        <v>0</v>
      </c>
      <c r="AF153" s="68">
        <f>SMALL(K153:AC153,2)</f>
        <v>0</v>
      </c>
      <c r="AG153" s="68">
        <f>SMALL(K153:AC153,3)</f>
        <v>0</v>
      </c>
      <c r="AH153" s="68">
        <f>SMALL(K153:AC153,4)</f>
        <v>0</v>
      </c>
      <c r="AI153" s="68">
        <f>SMALL(K153:AC153,5)</f>
        <v>0</v>
      </c>
      <c r="AJ153" s="68">
        <f>SMALL(K153:AC153,6)</f>
        <v>0</v>
      </c>
    </row>
    <row r="154" spans="2:29" ht="12.75">
      <c r="B154" s="9" t="s">
        <v>122</v>
      </c>
      <c r="C154" s="7" t="s">
        <v>10</v>
      </c>
      <c r="D154" s="7" t="s">
        <v>21</v>
      </c>
      <c r="E154" s="8">
        <v>1992</v>
      </c>
      <c r="F154" s="38">
        <v>9278.682334439354</v>
      </c>
      <c r="G154" s="38">
        <f t="shared" si="24"/>
        <v>17</v>
      </c>
      <c r="H154" s="38">
        <f t="shared" si="23"/>
        <v>9278.682334439354</v>
      </c>
      <c r="I154" s="90"/>
      <c r="J154" s="91"/>
      <c r="K154" s="69">
        <v>0</v>
      </c>
      <c r="L154" s="76">
        <v>961.6236162361624</v>
      </c>
      <c r="M154" s="76">
        <v>938.6549819013148</v>
      </c>
      <c r="N154" s="76">
        <v>853.5016085127445</v>
      </c>
      <c r="O154" s="76">
        <v>0</v>
      </c>
      <c r="P154" s="76">
        <v>896.6011849080138</v>
      </c>
      <c r="Q154" s="76">
        <v>1009.0824188652814</v>
      </c>
      <c r="R154" s="76">
        <v>884.76821192053</v>
      </c>
      <c r="S154" s="76">
        <v>991.8841761827081</v>
      </c>
      <c r="T154" s="71">
        <v>0</v>
      </c>
      <c r="U154" s="76">
        <v>949.447400736799</v>
      </c>
      <c r="V154" s="76">
        <v>0</v>
      </c>
      <c r="W154" s="76">
        <v>935.5753646677474</v>
      </c>
      <c r="X154" s="71">
        <v>0</v>
      </c>
      <c r="Y154" s="71">
        <v>0</v>
      </c>
      <c r="Z154" s="71">
        <v>0</v>
      </c>
      <c r="AA154" s="10">
        <v>857.5433705080546</v>
      </c>
      <c r="AB154" s="88"/>
      <c r="AC154" s="88"/>
    </row>
    <row r="155" spans="2:29" ht="12.75">
      <c r="B155" s="9" t="s">
        <v>152</v>
      </c>
      <c r="C155" s="7" t="s">
        <v>10</v>
      </c>
      <c r="D155" s="7" t="s">
        <v>17</v>
      </c>
      <c r="E155" s="8">
        <v>1969</v>
      </c>
      <c r="F155" s="38">
        <v>8104.098979721489</v>
      </c>
      <c r="G155" s="38">
        <f t="shared" si="24"/>
        <v>17</v>
      </c>
      <c r="H155" s="38">
        <f t="shared" si="23"/>
        <v>8104.098979721489</v>
      </c>
      <c r="I155" s="90"/>
      <c r="J155" s="91"/>
      <c r="K155" s="69">
        <v>0</v>
      </c>
      <c r="L155" s="76">
        <v>369.88110964332907</v>
      </c>
      <c r="M155" s="76">
        <v>627.787610619469</v>
      </c>
      <c r="N155" s="76">
        <v>731.1583924349881</v>
      </c>
      <c r="O155" s="72">
        <v>0</v>
      </c>
      <c r="P155" s="72">
        <v>0</v>
      </c>
      <c r="Q155" s="72">
        <v>0</v>
      </c>
      <c r="R155" s="76">
        <v>429.79242979242986</v>
      </c>
      <c r="S155" s="76">
        <v>609.3409275834014</v>
      </c>
      <c r="T155" s="76">
        <v>800</v>
      </c>
      <c r="U155" s="76">
        <v>800</v>
      </c>
      <c r="V155" s="76">
        <v>791.5907498248071</v>
      </c>
      <c r="W155" s="76">
        <v>784.2316975060337</v>
      </c>
      <c r="X155" s="70">
        <v>0</v>
      </c>
      <c r="Y155" s="76">
        <v>769.9410278011795</v>
      </c>
      <c r="Z155" s="47">
        <v>692.3299217338953</v>
      </c>
      <c r="AA155" s="10">
        <v>698.0451127819549</v>
      </c>
      <c r="AB155" s="88"/>
      <c r="AC155" s="88"/>
    </row>
    <row r="156" spans="2:29" ht="12.75">
      <c r="B156" s="9" t="s">
        <v>334</v>
      </c>
      <c r="F156" s="38">
        <v>675.1617773943054</v>
      </c>
      <c r="G156" s="38">
        <f t="shared" si="24"/>
        <v>17</v>
      </c>
      <c r="H156" s="38">
        <f t="shared" si="23"/>
        <v>675.1617773943054</v>
      </c>
      <c r="I156" s="90"/>
      <c r="J156" s="91"/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10">
        <v>675.1617773943054</v>
      </c>
      <c r="AB156" s="88"/>
      <c r="AC156" s="88"/>
    </row>
    <row r="157" spans="2:29" ht="12.75">
      <c r="B157" s="9" t="s">
        <v>279</v>
      </c>
      <c r="C157" t="s">
        <v>187</v>
      </c>
      <c r="D157" t="s">
        <v>280</v>
      </c>
      <c r="E157" s="8">
        <v>1979</v>
      </c>
      <c r="F157" s="38">
        <v>9368.174968303641</v>
      </c>
      <c r="G157" s="38">
        <f t="shared" si="24"/>
        <v>17</v>
      </c>
      <c r="H157" s="38">
        <f t="shared" si="23"/>
        <v>9368.174968303641</v>
      </c>
      <c r="I157" s="90"/>
      <c r="J157" s="91"/>
      <c r="K157" s="69">
        <v>0</v>
      </c>
      <c r="L157" s="69">
        <v>0</v>
      </c>
      <c r="M157" s="69">
        <v>0</v>
      </c>
      <c r="N157" s="69">
        <v>0</v>
      </c>
      <c r="O157" s="76">
        <v>827.4932614555257</v>
      </c>
      <c r="P157" s="76">
        <v>846.5232304334271</v>
      </c>
      <c r="Q157" s="76">
        <v>932.5472799439646</v>
      </c>
      <c r="R157" s="76">
        <v>0</v>
      </c>
      <c r="S157" s="76">
        <v>960.9298531810769</v>
      </c>
      <c r="T157" s="71">
        <v>0</v>
      </c>
      <c r="U157" s="76">
        <v>920.589439214081</v>
      </c>
      <c r="V157" s="76">
        <v>884.0287769784172</v>
      </c>
      <c r="W157" s="76">
        <v>901.9448946515398</v>
      </c>
      <c r="X157" s="76">
        <v>785.0680070963926</v>
      </c>
      <c r="Y157" s="76">
        <v>577.9370952821462</v>
      </c>
      <c r="Z157" s="76">
        <v>875.7847533632287</v>
      </c>
      <c r="AA157" s="10">
        <v>855.3283767038417</v>
      </c>
      <c r="AB157" s="88"/>
      <c r="AC157" s="88"/>
    </row>
    <row r="158" spans="2:29" ht="12.75">
      <c r="B158" s="9" t="s">
        <v>121</v>
      </c>
      <c r="C158" s="7" t="s">
        <v>10</v>
      </c>
      <c r="D158" s="7" t="s">
        <v>17</v>
      </c>
      <c r="E158" s="8">
        <v>1971</v>
      </c>
      <c r="F158" s="38">
        <v>8661.892962385771</v>
      </c>
      <c r="G158" s="38">
        <f t="shared" si="24"/>
        <v>17</v>
      </c>
      <c r="H158" s="38">
        <f t="shared" si="23"/>
        <v>8661.892962385771</v>
      </c>
      <c r="I158" s="90"/>
      <c r="J158" s="91"/>
      <c r="K158" s="69">
        <v>0</v>
      </c>
      <c r="L158" s="76">
        <v>685.608856088561</v>
      </c>
      <c r="M158" s="76">
        <v>273.3854067441419</v>
      </c>
      <c r="N158" s="76">
        <v>880.722593417471</v>
      </c>
      <c r="O158" s="76">
        <v>606.469002695418</v>
      </c>
      <c r="P158" s="76">
        <v>745.6813221078891</v>
      </c>
      <c r="Q158" s="76">
        <v>932.0336212934858</v>
      </c>
      <c r="R158" s="76">
        <v>845.0331125827814</v>
      </c>
      <c r="S158" s="76">
        <v>952.4061990212073</v>
      </c>
      <c r="T158" s="71">
        <v>0</v>
      </c>
      <c r="U158" s="76">
        <v>781.0069586573884</v>
      </c>
      <c r="V158" s="76">
        <v>779.2805755395684</v>
      </c>
      <c r="W158" s="76">
        <v>719.2058346839549</v>
      </c>
      <c r="X158" s="71">
        <v>0</v>
      </c>
      <c r="Y158" s="71">
        <v>0</v>
      </c>
      <c r="Z158" s="71">
        <v>0</v>
      </c>
      <c r="AA158" s="10">
        <v>461.05947955390377</v>
      </c>
      <c r="AB158" s="88"/>
      <c r="AC158" s="88"/>
    </row>
    <row r="159" spans="2:29" ht="12.75">
      <c r="B159" s="29" t="s">
        <v>320</v>
      </c>
      <c r="F159" s="51">
        <v>10</v>
      </c>
      <c r="G159" s="38">
        <f t="shared" si="24"/>
        <v>17</v>
      </c>
      <c r="H159" s="38">
        <f t="shared" si="23"/>
        <v>10</v>
      </c>
      <c r="I159" s="87"/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11">
        <v>10</v>
      </c>
      <c r="AB159" s="11"/>
      <c r="AC159" s="88"/>
    </row>
  </sheetData>
  <sheetProtection/>
  <mergeCells count="6">
    <mergeCell ref="F2:F6"/>
    <mergeCell ref="B2:E6"/>
    <mergeCell ref="J2:J6"/>
    <mergeCell ref="G2:G6"/>
    <mergeCell ref="H2:H6"/>
    <mergeCell ref="I2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Vaida</cp:lastModifiedBy>
  <cp:lastPrinted>2015-07-14T10:35:53Z</cp:lastPrinted>
  <dcterms:created xsi:type="dcterms:W3CDTF">1996-10-14T23:33:28Z</dcterms:created>
  <dcterms:modified xsi:type="dcterms:W3CDTF">2017-10-15T19:49:42Z</dcterms:modified>
  <cp:category/>
  <cp:version/>
  <cp:contentType/>
  <cp:contentStatus/>
</cp:coreProperties>
</file>